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bligation\Share\229\Ashxatanqain\Ջանջուղազյան և Զարգարյան\Հրապարակման\2023\10.2023\"/>
    </mc:Choice>
  </mc:AlternateContent>
  <bookViews>
    <workbookView xWindow="0" yWindow="0" windowWidth="28800" windowHeight="12330" firstSheet="1" activeTab="1"/>
  </bookViews>
  <sheets>
    <sheet name="Sheet1" sheetId="1" state="hidden" r:id="rId1"/>
    <sheet name="հոկտեմբեր" sheetId="23" r:id="rId2"/>
    <sheet name="սեպտեմբեր" sheetId="22" state="hidden" r:id="rId3"/>
    <sheet name="օգոստոս" sheetId="21" state="hidden" r:id="rId4"/>
    <sheet name="հուլիս" sheetId="19" state="hidden" r:id="rId5"/>
    <sheet name="բյուջետային երաշխիք" sheetId="3" r:id="rId6"/>
    <sheet name="Government Guarantees" sheetId="20" r:id="rId7"/>
  </sheets>
  <externalReferences>
    <externalReference r:id="rId8"/>
    <externalReference r:id="rId9"/>
    <externalReference r:id="rId10"/>
    <externalReference r:id="rId11"/>
  </externalReferences>
  <definedNames>
    <definedName name="aaa" localSheetId="4">#REF!</definedName>
    <definedName name="aaa" localSheetId="2">#REF!</definedName>
    <definedName name="aaa" localSheetId="3">#REF!</definedName>
    <definedName name="aaa">#REF!</definedName>
    <definedName name="ggg" localSheetId="4">#REF!</definedName>
    <definedName name="ggg" localSheetId="2">#REF!</definedName>
    <definedName name="ggg" localSheetId="3">#REF!</definedName>
    <definedName name="ggg">#REF!</definedName>
    <definedName name="hjf">#REF!</definedName>
    <definedName name="Lus" localSheetId="4">#REF!</definedName>
    <definedName name="Lus" localSheetId="2">#REF!</definedName>
    <definedName name="Lus" localSheetId="3">#REF!</definedName>
    <definedName name="Lus">#REF!</definedName>
    <definedName name="Lusine" localSheetId="4">#REF!</definedName>
    <definedName name="Lusine" localSheetId="2">#REF!</definedName>
    <definedName name="Lusine" localSheetId="3">#REF!</definedName>
    <definedName name="Lusine">#REF!</definedName>
    <definedName name="Lusine1" localSheetId="4">#REF!</definedName>
    <definedName name="Lusine1" localSheetId="2">#REF!</definedName>
    <definedName name="Lusine1" localSheetId="3">#REF!</definedName>
    <definedName name="Lusine1">#REF!</definedName>
    <definedName name="print" localSheetId="6">#REF!</definedName>
    <definedName name="print">#REF!</definedName>
    <definedName name="Table1" localSheetId="4">#REF!</definedName>
    <definedName name="Table1" localSheetId="2">#REF!</definedName>
    <definedName name="Table1" localSheetId="3">#REF!</definedName>
    <definedName name="Table1">#REF!</definedName>
    <definedName name="Table2" localSheetId="4">#REF!</definedName>
    <definedName name="Table2" localSheetId="2">#REF!</definedName>
    <definedName name="Table2" localSheetId="3">#REF!</definedName>
    <definedName name="Table2">#REF!</definedName>
    <definedName name="vlom" localSheetId="6">[1]VTB!#REF!</definedName>
    <definedName name="vlom">[1]VTB!#REF!</definedName>
    <definedName name="Z_4CEBA9DC_1F71_4AEC_B56C_2888F9D9F6A5_.wvu.Cols" localSheetId="4" hidden="1">հուլիս!$E:$J</definedName>
    <definedName name="Z_4CEBA9DC_1F71_4AEC_B56C_2888F9D9F6A5_.wvu.Cols" localSheetId="2" hidden="1">սեպտեմբեր!#REF!</definedName>
    <definedName name="Z_4CEBA9DC_1F71_4AEC_B56C_2888F9D9F6A5_.wvu.Cols" localSheetId="3" hidden="1">օգոստոս!$E:$J</definedName>
    <definedName name="ամառ" localSheetId="1">#REF!</definedName>
    <definedName name="ամառ" localSheetId="2">#REF!</definedName>
    <definedName name="ամառ">#REF!</definedName>
    <definedName name="ապրիլ" localSheetId="4">#REF!</definedName>
    <definedName name="ապրիլ" localSheetId="2">#REF!</definedName>
    <definedName name="ապրիլ" localSheetId="3">#REF!</definedName>
    <definedName name="ապրիլ">#REF!</definedName>
    <definedName name="հուլիս" localSheetId="2">#REF!</definedName>
    <definedName name="հուլիս" localSheetId="3">#REF!</definedName>
    <definedName name="հուլիս">#REF!</definedName>
    <definedName name="հունիս" localSheetId="4">#REF!</definedName>
    <definedName name="հունիս" localSheetId="2">#REF!</definedName>
    <definedName name="հունիս" localSheetId="3">#REF!</definedName>
    <definedName name="հունիս">#REF!</definedName>
    <definedName name="հֆգյֆ" localSheetId="2">#REF!</definedName>
    <definedName name="հֆգյֆ" localSheetId="3">#REF!</definedName>
    <definedName name="հֆգյֆ">#REF!</definedName>
    <definedName name="սեպտեմբեր">#REF!</definedName>
    <definedName name="օգօստօս" localSheetId="2">#REF!</definedName>
    <definedName name="օգօստօս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23" l="1"/>
  <c r="O6" i="23"/>
  <c r="O7" i="23"/>
  <c r="O8" i="23"/>
  <c r="O9" i="23"/>
  <c r="O10" i="23"/>
  <c r="O11" i="23"/>
  <c r="O12" i="23"/>
  <c r="O13" i="23"/>
  <c r="O14" i="23"/>
  <c r="O16" i="23"/>
  <c r="O18" i="23"/>
  <c r="O19" i="23"/>
  <c r="O20" i="23"/>
  <c r="O21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52" i="23"/>
  <c r="O53" i="23"/>
  <c r="O55" i="23"/>
  <c r="O60" i="23" s="1"/>
  <c r="O56" i="23"/>
  <c r="O57" i="23"/>
  <c r="O62" i="23"/>
  <c r="O71" i="23" s="1"/>
  <c r="O63" i="23"/>
  <c r="O64" i="23"/>
  <c r="O65" i="23"/>
  <c r="O66" i="23"/>
  <c r="O67" i="23"/>
  <c r="O68" i="23"/>
  <c r="O73" i="23"/>
  <c r="O74" i="23"/>
  <c r="O75" i="23"/>
  <c r="O76" i="23"/>
  <c r="O77" i="23"/>
  <c r="O78" i="23"/>
  <c r="O79" i="23"/>
  <c r="O80" i="23"/>
  <c r="O81" i="23"/>
  <c r="O82" i="23"/>
  <c r="O83" i="23"/>
  <c r="O84" i="23"/>
  <c r="O85" i="23"/>
  <c r="O86" i="23"/>
  <c r="O87" i="23"/>
  <c r="O88" i="23"/>
  <c r="O89" i="23"/>
  <c r="O90" i="23"/>
  <c r="O91" i="23"/>
  <c r="O93" i="23"/>
  <c r="O94" i="23"/>
  <c r="O95" i="23"/>
  <c r="O97" i="23"/>
  <c r="O98" i="23"/>
  <c r="O103" i="23"/>
  <c r="O105" i="23"/>
  <c r="O106" i="23"/>
  <c r="O107" i="23"/>
  <c r="O108" i="23"/>
  <c r="O113" i="23"/>
  <c r="O114" i="23"/>
  <c r="O115" i="23"/>
  <c r="O117" i="23"/>
  <c r="O118" i="23"/>
  <c r="O119" i="23"/>
  <c r="O120" i="23"/>
  <c r="O121" i="23"/>
  <c r="O122" i="23"/>
  <c r="O124" i="23"/>
  <c r="O125" i="23"/>
  <c r="O126" i="23"/>
  <c r="O127" i="23"/>
  <c r="O128" i="23"/>
  <c r="O129" i="23"/>
  <c r="O130" i="23"/>
  <c r="O131" i="23"/>
  <c r="O132" i="23"/>
  <c r="O133" i="23"/>
  <c r="O138" i="23"/>
  <c r="O139" i="23"/>
  <c r="O141" i="23"/>
  <c r="O142" i="23"/>
  <c r="P143" i="23"/>
  <c r="N143" i="23"/>
  <c r="O143" i="23" s="1"/>
  <c r="U142" i="23"/>
  <c r="Q142" i="23"/>
  <c r="U141" i="23"/>
  <c r="Q141" i="23"/>
  <c r="Q140" i="23"/>
  <c r="U139" i="23"/>
  <c r="Q139" i="23"/>
  <c r="U138" i="23"/>
  <c r="Q138" i="23"/>
  <c r="T137" i="23"/>
  <c r="S137" i="23"/>
  <c r="R137" i="23"/>
  <c r="P137" i="23"/>
  <c r="N137" i="23"/>
  <c r="T136" i="23"/>
  <c r="S136" i="23"/>
  <c r="R136" i="23"/>
  <c r="P136" i="23"/>
  <c r="N136" i="23"/>
  <c r="T134" i="23"/>
  <c r="S134" i="23"/>
  <c r="R134" i="23"/>
  <c r="P134" i="23"/>
  <c r="N134" i="23"/>
  <c r="T133" i="23"/>
  <c r="U133" i="23" s="1"/>
  <c r="T132" i="23"/>
  <c r="U132" i="23" s="1"/>
  <c r="S132" i="23"/>
  <c r="S131" i="23"/>
  <c r="R131" i="23"/>
  <c r="T131" i="23" s="1"/>
  <c r="U131" i="23" s="1"/>
  <c r="T130" i="23"/>
  <c r="U130" i="23" s="1"/>
  <c r="S130" i="23"/>
  <c r="U129" i="23"/>
  <c r="T129" i="23"/>
  <c r="S129" i="23"/>
  <c r="T128" i="23"/>
  <c r="U128" i="23" s="1"/>
  <c r="S127" i="23"/>
  <c r="R127" i="23"/>
  <c r="T127" i="23" s="1"/>
  <c r="U127" i="23" s="1"/>
  <c r="S126" i="23"/>
  <c r="T126" i="23" s="1"/>
  <c r="U126" i="23" s="1"/>
  <c r="R126" i="23"/>
  <c r="S125" i="23"/>
  <c r="P125" i="23"/>
  <c r="T125" i="23" s="1"/>
  <c r="U125" i="23" s="1"/>
  <c r="T124" i="23"/>
  <c r="U124" i="23" s="1"/>
  <c r="S124" i="23"/>
  <c r="S123" i="23"/>
  <c r="R123" i="23"/>
  <c r="P123" i="23"/>
  <c r="N123" i="23"/>
  <c r="O123" i="23" s="1"/>
  <c r="S122" i="23"/>
  <c r="R122" i="23"/>
  <c r="T122" i="23" s="1"/>
  <c r="U122" i="23" s="1"/>
  <c r="T121" i="23"/>
  <c r="U121" i="23" s="1"/>
  <c r="S121" i="23"/>
  <c r="S120" i="23"/>
  <c r="R120" i="23"/>
  <c r="P120" i="23"/>
  <c r="T119" i="23"/>
  <c r="U119" i="23" s="1"/>
  <c r="S119" i="23"/>
  <c r="T118" i="23"/>
  <c r="U118" i="23" s="1"/>
  <c r="S118" i="23"/>
  <c r="T117" i="23"/>
  <c r="U117" i="23" s="1"/>
  <c r="P116" i="23"/>
  <c r="T116" i="23" s="1"/>
  <c r="U116" i="23" s="1"/>
  <c r="N116" i="23"/>
  <c r="N135" i="23" s="1"/>
  <c r="S115" i="23"/>
  <c r="R115" i="23"/>
  <c r="T115" i="23" s="1"/>
  <c r="U115" i="23" s="1"/>
  <c r="T114" i="23"/>
  <c r="U114" i="23" s="1"/>
  <c r="S113" i="23"/>
  <c r="R113" i="23"/>
  <c r="T112" i="23"/>
  <c r="S112" i="23"/>
  <c r="R112" i="23"/>
  <c r="P112" i="23"/>
  <c r="N112" i="23"/>
  <c r="T111" i="23"/>
  <c r="S111" i="23"/>
  <c r="R111" i="23"/>
  <c r="P111" i="23"/>
  <c r="N111" i="23"/>
  <c r="T109" i="23"/>
  <c r="S109" i="23"/>
  <c r="R109" i="23"/>
  <c r="P109" i="23"/>
  <c r="N109" i="23"/>
  <c r="T108" i="23"/>
  <c r="U108" i="23" s="1"/>
  <c r="S108" i="23"/>
  <c r="T107" i="23"/>
  <c r="U107" i="23" s="1"/>
  <c r="S107" i="23"/>
  <c r="T106" i="23"/>
  <c r="U106" i="23" s="1"/>
  <c r="S106" i="23"/>
  <c r="T105" i="23"/>
  <c r="U105" i="23" s="1"/>
  <c r="S104" i="23"/>
  <c r="S110" i="23" s="1"/>
  <c r="R104" i="23"/>
  <c r="P104" i="23"/>
  <c r="N104" i="23"/>
  <c r="O104" i="23" s="1"/>
  <c r="T103" i="23"/>
  <c r="R103" i="23"/>
  <c r="R110" i="23" s="1"/>
  <c r="N103" i="23"/>
  <c r="T102" i="23"/>
  <c r="S102" i="23"/>
  <c r="R102" i="23"/>
  <c r="P102" i="23"/>
  <c r="N102" i="23"/>
  <c r="P101" i="23"/>
  <c r="N101" i="23"/>
  <c r="N100" i="23"/>
  <c r="T98" i="23"/>
  <c r="U98" i="23" s="1"/>
  <c r="S98" i="23"/>
  <c r="T97" i="23"/>
  <c r="U97" i="23" s="1"/>
  <c r="S97" i="23"/>
  <c r="U96" i="23"/>
  <c r="T96" i="23"/>
  <c r="T95" i="23"/>
  <c r="U95" i="23" s="1"/>
  <c r="T94" i="23"/>
  <c r="U94" i="23" s="1"/>
  <c r="T93" i="23"/>
  <c r="U93" i="23" s="1"/>
  <c r="S92" i="23"/>
  <c r="N92" i="23"/>
  <c r="N99" i="23" s="1"/>
  <c r="U91" i="23"/>
  <c r="S91" i="23"/>
  <c r="R91" i="23"/>
  <c r="U90" i="23"/>
  <c r="S90" i="23"/>
  <c r="R89" i="23"/>
  <c r="T89" i="23" s="1"/>
  <c r="U89" i="23" s="1"/>
  <c r="R88" i="23"/>
  <c r="T88" i="23" s="1"/>
  <c r="U88" i="23" s="1"/>
  <c r="R87" i="23"/>
  <c r="R100" i="23" s="1"/>
  <c r="S86" i="23"/>
  <c r="R86" i="23"/>
  <c r="T86" i="23" s="1"/>
  <c r="U86" i="23" s="1"/>
  <c r="T85" i="23"/>
  <c r="U85" i="23" s="1"/>
  <c r="T84" i="23"/>
  <c r="U84" i="23" s="1"/>
  <c r="T83" i="23"/>
  <c r="U83" i="23" s="1"/>
  <c r="P83" i="23"/>
  <c r="T82" i="23"/>
  <c r="U82" i="23" s="1"/>
  <c r="T81" i="23"/>
  <c r="U81" i="23" s="1"/>
  <c r="T80" i="23"/>
  <c r="U80" i="23" s="1"/>
  <c r="S79" i="23"/>
  <c r="R79" i="23"/>
  <c r="T79" i="23" s="1"/>
  <c r="U79" i="23" s="1"/>
  <c r="T78" i="23"/>
  <c r="U78" i="23" s="1"/>
  <c r="P77" i="23"/>
  <c r="P100" i="23" s="1"/>
  <c r="P76" i="23"/>
  <c r="T76" i="23" s="1"/>
  <c r="U76" i="23" s="1"/>
  <c r="T75" i="23"/>
  <c r="U75" i="23" s="1"/>
  <c r="S74" i="23"/>
  <c r="R74" i="23"/>
  <c r="T74" i="23" s="1"/>
  <c r="S73" i="23"/>
  <c r="R73" i="23"/>
  <c r="T73" i="23" s="1"/>
  <c r="T72" i="23"/>
  <c r="S72" i="23"/>
  <c r="R72" i="23"/>
  <c r="P72" i="23"/>
  <c r="N72" i="23"/>
  <c r="P71" i="23"/>
  <c r="N71" i="23"/>
  <c r="P70" i="23"/>
  <c r="N70" i="23"/>
  <c r="P69" i="23"/>
  <c r="N69" i="23"/>
  <c r="U68" i="23"/>
  <c r="T68" i="23"/>
  <c r="S68" i="23"/>
  <c r="S67" i="23"/>
  <c r="R67" i="23"/>
  <c r="T67" i="23" s="1"/>
  <c r="U67" i="23" s="1"/>
  <c r="S66" i="23"/>
  <c r="R66" i="23"/>
  <c r="T66" i="23" s="1"/>
  <c r="U66" i="23" s="1"/>
  <c r="S65" i="23"/>
  <c r="R65" i="23"/>
  <c r="T65" i="23" s="1"/>
  <c r="T71" i="23" s="1"/>
  <c r="S64" i="23"/>
  <c r="S69" i="23" s="1"/>
  <c r="R64" i="23"/>
  <c r="R69" i="23" s="1"/>
  <c r="J64" i="23"/>
  <c r="T63" i="23"/>
  <c r="U63" i="23" s="1"/>
  <c r="S62" i="23"/>
  <c r="R62" i="23"/>
  <c r="T61" i="23"/>
  <c r="S61" i="23"/>
  <c r="R61" i="23"/>
  <c r="P61" i="23"/>
  <c r="N61" i="23"/>
  <c r="T60" i="23"/>
  <c r="S60" i="23"/>
  <c r="R60" i="23"/>
  <c r="P60" i="23"/>
  <c r="N60" i="23"/>
  <c r="P59" i="23"/>
  <c r="N59" i="23"/>
  <c r="P58" i="23"/>
  <c r="N58" i="23"/>
  <c r="T57" i="23"/>
  <c r="U57" i="23" s="1"/>
  <c r="S57" i="23"/>
  <c r="R57" i="23"/>
  <c r="J57" i="23"/>
  <c r="S56" i="23"/>
  <c r="R56" i="23"/>
  <c r="T56" i="23" s="1"/>
  <c r="U56" i="23" s="1"/>
  <c r="J56" i="23"/>
  <c r="R55" i="23"/>
  <c r="T55" i="23" s="1"/>
  <c r="U55" i="23" s="1"/>
  <c r="J55" i="23"/>
  <c r="S54" i="23"/>
  <c r="R54" i="23"/>
  <c r="T54" i="23" s="1"/>
  <c r="S53" i="23"/>
  <c r="R53" i="23"/>
  <c r="G53" i="23"/>
  <c r="J53" i="23" s="1"/>
  <c r="S52" i="23"/>
  <c r="R52" i="23"/>
  <c r="T52" i="23" s="1"/>
  <c r="U52" i="23" s="1"/>
  <c r="J52" i="23"/>
  <c r="P51" i="23"/>
  <c r="P142" i="23" s="1"/>
  <c r="N51" i="23"/>
  <c r="N142" i="23" s="1"/>
  <c r="P50" i="23"/>
  <c r="N50" i="23"/>
  <c r="P49" i="23"/>
  <c r="N48" i="23"/>
  <c r="N47" i="23"/>
  <c r="T46" i="23"/>
  <c r="U46" i="23" s="1"/>
  <c r="S46" i="23"/>
  <c r="T45" i="23"/>
  <c r="U45" i="23" s="1"/>
  <c r="S45" i="23"/>
  <c r="S44" i="23"/>
  <c r="R44" i="23"/>
  <c r="P44" i="23"/>
  <c r="P48" i="23" s="1"/>
  <c r="T43" i="23"/>
  <c r="U43" i="23" s="1"/>
  <c r="S43" i="23"/>
  <c r="R43" i="23"/>
  <c r="T42" i="23"/>
  <c r="U42" i="23" s="1"/>
  <c r="T41" i="23"/>
  <c r="U41" i="23" s="1"/>
  <c r="S41" i="23"/>
  <c r="R41" i="23"/>
  <c r="T40" i="23"/>
  <c r="U40" i="23" s="1"/>
  <c r="S40" i="23"/>
  <c r="R40" i="23"/>
  <c r="S39" i="23"/>
  <c r="R39" i="23"/>
  <c r="T39" i="23" s="1"/>
  <c r="U39" i="23" s="1"/>
  <c r="S38" i="23"/>
  <c r="R38" i="23"/>
  <c r="T38" i="23" s="1"/>
  <c r="U38" i="23" s="1"/>
  <c r="S37" i="23"/>
  <c r="R37" i="23"/>
  <c r="T37" i="23" s="1"/>
  <c r="U37" i="23" s="1"/>
  <c r="J37" i="23"/>
  <c r="R36" i="23"/>
  <c r="T36" i="23" s="1"/>
  <c r="U36" i="23" s="1"/>
  <c r="J36" i="23"/>
  <c r="R35" i="23"/>
  <c r="T35" i="23" s="1"/>
  <c r="U35" i="23" s="1"/>
  <c r="J35" i="23"/>
  <c r="R34" i="23"/>
  <c r="T34" i="23" s="1"/>
  <c r="U34" i="23" s="1"/>
  <c r="J34" i="23"/>
  <c r="S33" i="23"/>
  <c r="R33" i="23"/>
  <c r="T33" i="23" s="1"/>
  <c r="U33" i="23" s="1"/>
  <c r="I33" i="23"/>
  <c r="G33" i="23"/>
  <c r="J33" i="23" s="1"/>
  <c r="F33" i="23"/>
  <c r="S32" i="23"/>
  <c r="R32" i="23"/>
  <c r="T32" i="23" s="1"/>
  <c r="U32" i="23" s="1"/>
  <c r="S31" i="23"/>
  <c r="R31" i="23"/>
  <c r="T31" i="23" s="1"/>
  <c r="U31" i="23" s="1"/>
  <c r="J31" i="23"/>
  <c r="S30" i="23"/>
  <c r="R30" i="23"/>
  <c r="T30" i="23" s="1"/>
  <c r="U30" i="23" s="1"/>
  <c r="S29" i="23"/>
  <c r="R29" i="23"/>
  <c r="I29" i="23"/>
  <c r="G29" i="23"/>
  <c r="F29" i="23"/>
  <c r="S28" i="23"/>
  <c r="R28" i="23"/>
  <c r="T28" i="23" s="1"/>
  <c r="U28" i="23" s="1"/>
  <c r="S27" i="23"/>
  <c r="R27" i="23"/>
  <c r="T27" i="23" s="1"/>
  <c r="U27" i="23" s="1"/>
  <c r="J27" i="23"/>
  <c r="S26" i="23"/>
  <c r="R26" i="23"/>
  <c r="T26" i="23" s="1"/>
  <c r="U26" i="23" s="1"/>
  <c r="S25" i="23"/>
  <c r="R25" i="23"/>
  <c r="T25" i="23" s="1"/>
  <c r="U25" i="23" s="1"/>
  <c r="S24" i="23"/>
  <c r="R24" i="23"/>
  <c r="T24" i="23" s="1"/>
  <c r="U24" i="23" s="1"/>
  <c r="S23" i="23"/>
  <c r="R23" i="23"/>
  <c r="R51" i="23" s="1"/>
  <c r="R142" i="23" s="1"/>
  <c r="G23" i="23"/>
  <c r="J23" i="23" s="1"/>
  <c r="T22" i="23"/>
  <c r="U22" i="23" s="1"/>
  <c r="S22" i="23"/>
  <c r="T21" i="23"/>
  <c r="U21" i="23" s="1"/>
  <c r="S21" i="23"/>
  <c r="T20" i="23"/>
  <c r="U20" i="23" s="1"/>
  <c r="S20" i="23"/>
  <c r="T19" i="23"/>
  <c r="U19" i="23" s="1"/>
  <c r="S19" i="23"/>
  <c r="J19" i="23"/>
  <c r="T18" i="23"/>
  <c r="U18" i="23" s="1"/>
  <c r="T17" i="23"/>
  <c r="U17" i="23" s="1"/>
  <c r="N17" i="23"/>
  <c r="O17" i="23" s="1"/>
  <c r="J17" i="23"/>
  <c r="S16" i="23"/>
  <c r="R16" i="23"/>
  <c r="S15" i="23"/>
  <c r="R15" i="23"/>
  <c r="T15" i="23" s="1"/>
  <c r="U15" i="23" s="1"/>
  <c r="N15" i="23"/>
  <c r="O15" i="23" s="1"/>
  <c r="G15" i="23"/>
  <c r="J15" i="23" s="1"/>
  <c r="T14" i="23"/>
  <c r="U14" i="23" s="1"/>
  <c r="T13" i="23"/>
  <c r="U13" i="23" s="1"/>
  <c r="S13" i="23"/>
  <c r="T12" i="23"/>
  <c r="U12" i="23" s="1"/>
  <c r="T11" i="23"/>
  <c r="U11" i="23" s="1"/>
  <c r="T10" i="23"/>
  <c r="U10" i="23" s="1"/>
  <c r="S10" i="23"/>
  <c r="S9" i="23"/>
  <c r="P9" i="23"/>
  <c r="T9" i="23" s="1"/>
  <c r="U9" i="23" s="1"/>
  <c r="J9" i="23"/>
  <c r="T8" i="23"/>
  <c r="U8" i="23" s="1"/>
  <c r="S8" i="23"/>
  <c r="J8" i="23"/>
  <c r="S7" i="23"/>
  <c r="R7" i="23"/>
  <c r="T7" i="23" s="1"/>
  <c r="U7" i="23" s="1"/>
  <c r="J7" i="23"/>
  <c r="R6" i="23"/>
  <c r="T6" i="23" s="1"/>
  <c r="U6" i="23" s="1"/>
  <c r="J6" i="23"/>
  <c r="R5" i="23"/>
  <c r="P5" i="23"/>
  <c r="T5" i="23" s="1"/>
  <c r="J5" i="23"/>
  <c r="O111" i="23" l="1"/>
  <c r="S49" i="23"/>
  <c r="S71" i="23"/>
  <c r="O101" i="23"/>
  <c r="S100" i="23"/>
  <c r="O92" i="23"/>
  <c r="S99" i="23"/>
  <c r="O49" i="23"/>
  <c r="R48" i="23"/>
  <c r="T23" i="23"/>
  <c r="U23" i="23" s="1"/>
  <c r="S70" i="23"/>
  <c r="S101" i="23"/>
  <c r="S140" i="23" s="1"/>
  <c r="S50" i="23"/>
  <c r="S141" i="23" s="1"/>
  <c r="P140" i="23"/>
  <c r="T64" i="23"/>
  <c r="U64" i="23" s="1"/>
  <c r="T120" i="23"/>
  <c r="U120" i="23" s="1"/>
  <c r="T143" i="23"/>
  <c r="U143" i="23" s="1"/>
  <c r="S58" i="23"/>
  <c r="R135" i="23"/>
  <c r="O116" i="23"/>
  <c r="O136" i="23" s="1"/>
  <c r="S47" i="23"/>
  <c r="T16" i="23"/>
  <c r="U16" i="23" s="1"/>
  <c r="R50" i="23"/>
  <c r="R141" i="23" s="1"/>
  <c r="N141" i="23"/>
  <c r="S59" i="23"/>
  <c r="R70" i="23"/>
  <c r="S135" i="23"/>
  <c r="P47" i="23"/>
  <c r="N49" i="23"/>
  <c r="N140" i="23" s="1"/>
  <c r="S51" i="23"/>
  <c r="S142" i="23" s="1"/>
  <c r="N138" i="23"/>
  <c r="P141" i="23"/>
  <c r="R58" i="23"/>
  <c r="R71" i="23"/>
  <c r="P92" i="23"/>
  <c r="T92" i="23" s="1"/>
  <c r="U92" i="23" s="1"/>
  <c r="N110" i="23"/>
  <c r="T104" i="23"/>
  <c r="U104" i="23" s="1"/>
  <c r="P135" i="23"/>
  <c r="T123" i="23"/>
  <c r="U123" i="23" s="1"/>
  <c r="R47" i="23"/>
  <c r="R49" i="23"/>
  <c r="S48" i="23"/>
  <c r="J29" i="23"/>
  <c r="N139" i="23"/>
  <c r="U54" i="23"/>
  <c r="T59" i="23"/>
  <c r="T49" i="23"/>
  <c r="T99" i="23"/>
  <c r="U74" i="23"/>
  <c r="T47" i="23"/>
  <c r="T51" i="23"/>
  <c r="T142" i="23" s="1"/>
  <c r="T101" i="23"/>
  <c r="U73" i="23"/>
  <c r="P99" i="23"/>
  <c r="R101" i="23"/>
  <c r="U5" i="23"/>
  <c r="U65" i="23"/>
  <c r="T77" i="23"/>
  <c r="T87" i="23"/>
  <c r="U87" i="23" s="1"/>
  <c r="R99" i="23"/>
  <c r="U103" i="23"/>
  <c r="T113" i="23"/>
  <c r="R59" i="23"/>
  <c r="T29" i="23"/>
  <c r="T44" i="23"/>
  <c r="U44" i="23" s="1"/>
  <c r="T53" i="23"/>
  <c r="U53" i="23" s="1"/>
  <c r="T62" i="23"/>
  <c r="P110" i="23"/>
  <c r="I142" i="22"/>
  <c r="R139" i="23" l="1"/>
  <c r="T110" i="23"/>
  <c r="U60" i="23"/>
  <c r="T69" i="23"/>
  <c r="T140" i="23"/>
  <c r="P138" i="23"/>
  <c r="U111" i="23"/>
  <c r="S139" i="23"/>
  <c r="R140" i="23"/>
  <c r="O140" i="23"/>
  <c r="S138" i="23"/>
  <c r="P139" i="23"/>
  <c r="R138" i="23"/>
  <c r="T48" i="23"/>
  <c r="U113" i="23"/>
  <c r="U136" i="23" s="1"/>
  <c r="T135" i="23"/>
  <c r="U77" i="23"/>
  <c r="U101" i="23" s="1"/>
  <c r="T100" i="23"/>
  <c r="T58" i="23"/>
  <c r="T138" i="23" s="1"/>
  <c r="U29" i="23"/>
  <c r="U49" i="23" s="1"/>
  <c r="T50" i="23"/>
  <c r="T141" i="23" s="1"/>
  <c r="U62" i="23"/>
  <c r="U71" i="23" s="1"/>
  <c r="T70" i="23"/>
  <c r="H142" i="22"/>
  <c r="J141" i="22"/>
  <c r="J140" i="22"/>
  <c r="J139" i="22"/>
  <c r="J138" i="22"/>
  <c r="J137" i="22"/>
  <c r="M136" i="22"/>
  <c r="L136" i="22"/>
  <c r="K136" i="22"/>
  <c r="I136" i="22"/>
  <c r="H136" i="22"/>
  <c r="M135" i="22"/>
  <c r="L135" i="22"/>
  <c r="K135" i="22"/>
  <c r="I135" i="22"/>
  <c r="H135" i="22"/>
  <c r="M133" i="22"/>
  <c r="L133" i="22"/>
  <c r="K133" i="22"/>
  <c r="I133" i="22"/>
  <c r="H133" i="22"/>
  <c r="M132" i="22"/>
  <c r="M131" i="22"/>
  <c r="L131" i="22"/>
  <c r="L130" i="22"/>
  <c r="K130" i="22"/>
  <c r="M130" i="22" s="1"/>
  <c r="M129" i="22"/>
  <c r="L129" i="22"/>
  <c r="M128" i="22"/>
  <c r="L128" i="22"/>
  <c r="M127" i="22"/>
  <c r="L126" i="22"/>
  <c r="K126" i="22"/>
  <c r="M126" i="22" s="1"/>
  <c r="L125" i="22"/>
  <c r="M125" i="22" s="1"/>
  <c r="K125" i="22"/>
  <c r="L124" i="22"/>
  <c r="I124" i="22"/>
  <c r="M124" i="22" s="1"/>
  <c r="M123" i="22"/>
  <c r="L123" i="22"/>
  <c r="L122" i="22"/>
  <c r="K122" i="22"/>
  <c r="I122" i="22"/>
  <c r="H122" i="22"/>
  <c r="L121" i="22"/>
  <c r="K121" i="22"/>
  <c r="M121" i="22" s="1"/>
  <c r="M120" i="22"/>
  <c r="L120" i="22"/>
  <c r="L119" i="22"/>
  <c r="K119" i="22"/>
  <c r="I119" i="22"/>
  <c r="M118" i="22"/>
  <c r="L118" i="22"/>
  <c r="M117" i="22"/>
  <c r="L117" i="22"/>
  <c r="M116" i="22"/>
  <c r="I115" i="22"/>
  <c r="H115" i="22"/>
  <c r="L114" i="22"/>
  <c r="K114" i="22"/>
  <c r="M114" i="22" s="1"/>
  <c r="M113" i="22"/>
  <c r="L112" i="22"/>
  <c r="K112" i="22"/>
  <c r="M111" i="22"/>
  <c r="L111" i="22"/>
  <c r="K111" i="22"/>
  <c r="I111" i="22"/>
  <c r="H111" i="22"/>
  <c r="M110" i="22"/>
  <c r="L110" i="22"/>
  <c r="K110" i="22"/>
  <c r="I110" i="22"/>
  <c r="H110" i="22"/>
  <c r="M108" i="22"/>
  <c r="L108" i="22"/>
  <c r="K108" i="22"/>
  <c r="I108" i="22"/>
  <c r="H108" i="22"/>
  <c r="M107" i="22"/>
  <c r="L107" i="22"/>
  <c r="M106" i="22"/>
  <c r="L106" i="22"/>
  <c r="M105" i="22"/>
  <c r="L105" i="22"/>
  <c r="M104" i="22"/>
  <c r="L103" i="22"/>
  <c r="K103" i="22"/>
  <c r="I103" i="22"/>
  <c r="H103" i="22"/>
  <c r="K102" i="22"/>
  <c r="H102" i="22"/>
  <c r="M101" i="22"/>
  <c r="L101" i="22"/>
  <c r="K101" i="22"/>
  <c r="I101" i="22"/>
  <c r="H101" i="22"/>
  <c r="I100" i="22"/>
  <c r="H100" i="22"/>
  <c r="H99" i="22"/>
  <c r="M97" i="22"/>
  <c r="L97" i="22"/>
  <c r="M96" i="22"/>
  <c r="L96" i="22"/>
  <c r="M95" i="22"/>
  <c r="M94" i="22"/>
  <c r="M93" i="22"/>
  <c r="L92" i="22"/>
  <c r="H92" i="22"/>
  <c r="H98" i="22" s="1"/>
  <c r="L91" i="22"/>
  <c r="K91" i="22"/>
  <c r="L90" i="22"/>
  <c r="L99" i="22" s="1"/>
  <c r="K89" i="22"/>
  <c r="M89" i="22" s="1"/>
  <c r="K88" i="22"/>
  <c r="M88" i="22" s="1"/>
  <c r="K87" i="22"/>
  <c r="K99" i="22" s="1"/>
  <c r="L86" i="22"/>
  <c r="K86" i="22"/>
  <c r="M86" i="22" s="1"/>
  <c r="M85" i="22"/>
  <c r="M84" i="22"/>
  <c r="I83" i="22"/>
  <c r="M83" i="22" s="1"/>
  <c r="M82" i="22"/>
  <c r="M81" i="22"/>
  <c r="M80" i="22"/>
  <c r="M79" i="22"/>
  <c r="M78" i="22"/>
  <c r="I77" i="22"/>
  <c r="I76" i="22"/>
  <c r="M76" i="22" s="1"/>
  <c r="M75" i="22"/>
  <c r="L74" i="22"/>
  <c r="K74" i="22"/>
  <c r="M74" i="22" s="1"/>
  <c r="L73" i="22"/>
  <c r="K73" i="22"/>
  <c r="M73" i="22" s="1"/>
  <c r="M72" i="22"/>
  <c r="L72" i="22"/>
  <c r="K72" i="22"/>
  <c r="I72" i="22"/>
  <c r="H72" i="22"/>
  <c r="I71" i="22"/>
  <c r="H71" i="22"/>
  <c r="I70" i="22"/>
  <c r="H70" i="22"/>
  <c r="I69" i="22"/>
  <c r="H69" i="22"/>
  <c r="M68" i="22"/>
  <c r="L68" i="22"/>
  <c r="L67" i="22"/>
  <c r="K67" i="22"/>
  <c r="M66" i="22"/>
  <c r="L65" i="22"/>
  <c r="L71" i="22" s="1"/>
  <c r="K65" i="22"/>
  <c r="M65" i="22" s="1"/>
  <c r="L64" i="22"/>
  <c r="L69" i="22" s="1"/>
  <c r="K64" i="22"/>
  <c r="K69" i="22" s="1"/>
  <c r="M63" i="22"/>
  <c r="L62" i="22"/>
  <c r="K62" i="22"/>
  <c r="M62" i="22" s="1"/>
  <c r="M61" i="22"/>
  <c r="L61" i="22"/>
  <c r="K61" i="22"/>
  <c r="I61" i="22"/>
  <c r="H61" i="22"/>
  <c r="M60" i="22"/>
  <c r="L60" i="22"/>
  <c r="K60" i="22"/>
  <c r="I60" i="22"/>
  <c r="H60" i="22"/>
  <c r="L59" i="22"/>
  <c r="I59" i="22"/>
  <c r="H59" i="22"/>
  <c r="I58" i="22"/>
  <c r="H58" i="22"/>
  <c r="M57" i="22"/>
  <c r="M56" i="22"/>
  <c r="L55" i="22"/>
  <c r="L58" i="22" s="1"/>
  <c r="K55" i="22"/>
  <c r="M55" i="22" s="1"/>
  <c r="K54" i="22"/>
  <c r="K59" i="22" s="1"/>
  <c r="K53" i="22"/>
  <c r="M53" i="22" s="1"/>
  <c r="K52" i="22"/>
  <c r="M52" i="22" s="1"/>
  <c r="I51" i="22"/>
  <c r="I141" i="22" s="1"/>
  <c r="H51" i="22"/>
  <c r="H141" i="22" s="1"/>
  <c r="I50" i="22"/>
  <c r="H50" i="22"/>
  <c r="I49" i="22"/>
  <c r="H48" i="22"/>
  <c r="H47" i="22"/>
  <c r="M46" i="22"/>
  <c r="L46" i="22"/>
  <c r="M45" i="22"/>
  <c r="L45" i="22"/>
  <c r="L44" i="22"/>
  <c r="K44" i="22"/>
  <c r="I44" i="22"/>
  <c r="I48" i="22" s="1"/>
  <c r="L43" i="22"/>
  <c r="K43" i="22"/>
  <c r="M43" i="22" s="1"/>
  <c r="M42" i="22"/>
  <c r="L41" i="22"/>
  <c r="K41" i="22"/>
  <c r="M41" i="22" s="1"/>
  <c r="L40" i="22"/>
  <c r="K40" i="22"/>
  <c r="M40" i="22" s="1"/>
  <c r="L39" i="22"/>
  <c r="K39" i="22"/>
  <c r="M39" i="22" s="1"/>
  <c r="L38" i="22"/>
  <c r="K38" i="22"/>
  <c r="M38" i="22" s="1"/>
  <c r="L37" i="22"/>
  <c r="K37" i="22"/>
  <c r="M37" i="22" s="1"/>
  <c r="K36" i="22"/>
  <c r="M36" i="22" s="1"/>
  <c r="K35" i="22"/>
  <c r="M35" i="22" s="1"/>
  <c r="K34" i="22"/>
  <c r="M34" i="22" s="1"/>
  <c r="L33" i="22"/>
  <c r="K33" i="22"/>
  <c r="M33" i="22" s="1"/>
  <c r="L32" i="22"/>
  <c r="K32" i="22"/>
  <c r="M32" i="22" s="1"/>
  <c r="L31" i="22"/>
  <c r="K31" i="22"/>
  <c r="M31" i="22" s="1"/>
  <c r="L30" i="22"/>
  <c r="K30" i="22"/>
  <c r="M30" i="22" s="1"/>
  <c r="L29" i="22"/>
  <c r="K29" i="22"/>
  <c r="L28" i="22"/>
  <c r="K28" i="22"/>
  <c r="M28" i="22" s="1"/>
  <c r="L27" i="22"/>
  <c r="K27" i="22"/>
  <c r="M27" i="22" s="1"/>
  <c r="L26" i="22"/>
  <c r="K26" i="22"/>
  <c r="M26" i="22" s="1"/>
  <c r="L25" i="22"/>
  <c r="K25" i="22"/>
  <c r="M25" i="22" s="1"/>
  <c r="L24" i="22"/>
  <c r="K24" i="22"/>
  <c r="M24" i="22" s="1"/>
  <c r="L23" i="22"/>
  <c r="K23" i="22"/>
  <c r="M23" i="22" s="1"/>
  <c r="M22" i="22"/>
  <c r="L22" i="22"/>
  <c r="M21" i="22"/>
  <c r="L21" i="22"/>
  <c r="M20" i="22"/>
  <c r="L20" i="22"/>
  <c r="M19" i="22"/>
  <c r="L19" i="22"/>
  <c r="M18" i="22"/>
  <c r="M17" i="22"/>
  <c r="H17" i="22"/>
  <c r="L16" i="22"/>
  <c r="K16" i="22"/>
  <c r="M16" i="22" s="1"/>
  <c r="L15" i="22"/>
  <c r="K15" i="22"/>
  <c r="M15" i="22" s="1"/>
  <c r="H15" i="22"/>
  <c r="M14" i="22"/>
  <c r="M13" i="22"/>
  <c r="L13" i="22"/>
  <c r="M12" i="22"/>
  <c r="M11" i="22"/>
  <c r="M10" i="22"/>
  <c r="L10" i="22"/>
  <c r="L9" i="22"/>
  <c r="I9" i="22"/>
  <c r="M9" i="22" s="1"/>
  <c r="M8" i="22"/>
  <c r="L8" i="22"/>
  <c r="L7" i="22"/>
  <c r="K7" i="22"/>
  <c r="M7" i="22" s="1"/>
  <c r="K6" i="22"/>
  <c r="M6" i="22" s="1"/>
  <c r="K5" i="22"/>
  <c r="I5" i="22"/>
  <c r="T139" i="23" l="1"/>
  <c r="U140" i="23"/>
  <c r="M122" i="22"/>
  <c r="M142" i="22"/>
  <c r="I139" i="22"/>
  <c r="I47" i="22"/>
  <c r="H134" i="22"/>
  <c r="L50" i="22"/>
  <c r="L140" i="22" s="1"/>
  <c r="M44" i="22"/>
  <c r="K109" i="22"/>
  <c r="H49" i="22"/>
  <c r="H140" i="22"/>
  <c r="I99" i="22"/>
  <c r="I134" i="22"/>
  <c r="L134" i="22"/>
  <c r="L51" i="22"/>
  <c r="L141" i="22" s="1"/>
  <c r="K50" i="22"/>
  <c r="K140" i="22" s="1"/>
  <c r="H137" i="22"/>
  <c r="L70" i="22"/>
  <c r="M103" i="22"/>
  <c r="L109" i="22"/>
  <c r="K47" i="22"/>
  <c r="H139" i="22"/>
  <c r="K51" i="22"/>
  <c r="K141" i="22" s="1"/>
  <c r="M87" i="22"/>
  <c r="K100" i="22"/>
  <c r="M102" i="22"/>
  <c r="M115" i="22"/>
  <c r="L49" i="22"/>
  <c r="L48" i="22"/>
  <c r="L47" i="22"/>
  <c r="I140" i="22"/>
  <c r="M5" i="22"/>
  <c r="K48" i="22"/>
  <c r="M54" i="22"/>
  <c r="L98" i="22"/>
  <c r="K70" i="22"/>
  <c r="L100" i="22"/>
  <c r="K134" i="22"/>
  <c r="M119" i="22"/>
  <c r="M58" i="22"/>
  <c r="M47" i="22"/>
  <c r="M51" i="22"/>
  <c r="M141" i="22" s="1"/>
  <c r="M71" i="22"/>
  <c r="M100" i="22"/>
  <c r="M49" i="22"/>
  <c r="M48" i="22"/>
  <c r="K49" i="22"/>
  <c r="K58" i="22"/>
  <c r="M64" i="22"/>
  <c r="K71" i="22"/>
  <c r="M77" i="22"/>
  <c r="K98" i="22"/>
  <c r="H109" i="22"/>
  <c r="H138" i="22" s="1"/>
  <c r="M112" i="22"/>
  <c r="M29" i="22"/>
  <c r="M67" i="22"/>
  <c r="I92" i="22"/>
  <c r="M92" i="22" s="1"/>
  <c r="I109" i="22"/>
  <c r="I138" i="22" s="1"/>
  <c r="O142" i="21"/>
  <c r="N142" i="21"/>
  <c r="P141" i="21"/>
  <c r="P140" i="21"/>
  <c r="P139" i="21"/>
  <c r="P138" i="21"/>
  <c r="P137" i="21"/>
  <c r="S136" i="21"/>
  <c r="R136" i="21"/>
  <c r="Q136" i="21"/>
  <c r="O136" i="21"/>
  <c r="N136" i="21"/>
  <c r="S135" i="21"/>
  <c r="R135" i="21"/>
  <c r="Q135" i="21"/>
  <c r="O135" i="21"/>
  <c r="N135" i="21"/>
  <c r="S133" i="21"/>
  <c r="R133" i="21"/>
  <c r="Q133" i="21"/>
  <c r="O133" i="21"/>
  <c r="N133" i="21"/>
  <c r="S132" i="21"/>
  <c r="S131" i="21"/>
  <c r="R131" i="21"/>
  <c r="R130" i="21"/>
  <c r="Q130" i="21"/>
  <c r="S130" i="21" s="1"/>
  <c r="S129" i="21"/>
  <c r="R129" i="21"/>
  <c r="S128" i="21"/>
  <c r="R128" i="21"/>
  <c r="S127" i="21"/>
  <c r="R126" i="21"/>
  <c r="Q126" i="21"/>
  <c r="S126" i="21" s="1"/>
  <c r="R125" i="21"/>
  <c r="S125" i="21" s="1"/>
  <c r="Q125" i="21"/>
  <c r="R124" i="21"/>
  <c r="O124" i="21"/>
  <c r="S124" i="21" s="1"/>
  <c r="S123" i="21"/>
  <c r="R123" i="21"/>
  <c r="R122" i="21"/>
  <c r="Q122" i="21"/>
  <c r="O122" i="21"/>
  <c r="N122" i="21"/>
  <c r="R121" i="21"/>
  <c r="Q121" i="21"/>
  <c r="S121" i="21" s="1"/>
  <c r="S120" i="21"/>
  <c r="R120" i="21"/>
  <c r="R119" i="21"/>
  <c r="Q119" i="21"/>
  <c r="O119" i="21"/>
  <c r="S119" i="21" s="1"/>
  <c r="S118" i="21"/>
  <c r="R118" i="21"/>
  <c r="S117" i="21"/>
  <c r="R117" i="21"/>
  <c r="S116" i="21"/>
  <c r="O115" i="21"/>
  <c r="S115" i="21" s="1"/>
  <c r="N115" i="21"/>
  <c r="R114" i="21"/>
  <c r="Q114" i="21"/>
  <c r="S114" i="21" s="1"/>
  <c r="S113" i="21"/>
  <c r="R112" i="21"/>
  <c r="Q112" i="21"/>
  <c r="S111" i="21"/>
  <c r="R111" i="21"/>
  <c r="Q111" i="21"/>
  <c r="O111" i="21"/>
  <c r="N111" i="21"/>
  <c r="S110" i="21"/>
  <c r="R110" i="21"/>
  <c r="Q110" i="21"/>
  <c r="O110" i="21"/>
  <c r="N110" i="21"/>
  <c r="S108" i="21"/>
  <c r="R108" i="21"/>
  <c r="Q108" i="21"/>
  <c r="O108" i="21"/>
  <c r="N108" i="21"/>
  <c r="S107" i="21"/>
  <c r="R107" i="21"/>
  <c r="S106" i="21"/>
  <c r="R106" i="21"/>
  <c r="S105" i="21"/>
  <c r="R105" i="21"/>
  <c r="S104" i="21"/>
  <c r="R103" i="21"/>
  <c r="Q103" i="21"/>
  <c r="O103" i="21"/>
  <c r="N103" i="21"/>
  <c r="Q102" i="21"/>
  <c r="N102" i="21"/>
  <c r="S101" i="21"/>
  <c r="R101" i="21"/>
  <c r="Q101" i="21"/>
  <c r="O101" i="21"/>
  <c r="N101" i="21"/>
  <c r="O100" i="21"/>
  <c r="N100" i="21"/>
  <c r="N99" i="21"/>
  <c r="S97" i="21"/>
  <c r="R97" i="21"/>
  <c r="S96" i="21"/>
  <c r="R96" i="21"/>
  <c r="S95" i="21"/>
  <c r="S94" i="21"/>
  <c r="S93" i="21"/>
  <c r="R92" i="21"/>
  <c r="N92" i="21"/>
  <c r="N98" i="21" s="1"/>
  <c r="R91" i="21"/>
  <c r="Q91" i="21"/>
  <c r="R90" i="21"/>
  <c r="Q89" i="21"/>
  <c r="S89" i="21" s="1"/>
  <c r="Q88" i="21"/>
  <c r="S88" i="21" s="1"/>
  <c r="Q87" i="21"/>
  <c r="Q99" i="21" s="1"/>
  <c r="R86" i="21"/>
  <c r="Q86" i="21"/>
  <c r="S86" i="21" s="1"/>
  <c r="S85" i="21"/>
  <c r="S84" i="21"/>
  <c r="O83" i="21"/>
  <c r="S83" i="21" s="1"/>
  <c r="S82" i="21"/>
  <c r="S81" i="21"/>
  <c r="S80" i="21"/>
  <c r="S79" i="21"/>
  <c r="S78" i="21"/>
  <c r="O77" i="21"/>
  <c r="O76" i="21"/>
  <c r="S75" i="21"/>
  <c r="R74" i="21"/>
  <c r="Q74" i="21"/>
  <c r="S74" i="21" s="1"/>
  <c r="R73" i="21"/>
  <c r="Q73" i="21"/>
  <c r="S73" i="21" s="1"/>
  <c r="S72" i="21"/>
  <c r="R72" i="21"/>
  <c r="Q72" i="21"/>
  <c r="O72" i="21"/>
  <c r="N72" i="21"/>
  <c r="O71" i="21"/>
  <c r="N71" i="21"/>
  <c r="O70" i="21"/>
  <c r="N70" i="21"/>
  <c r="O69" i="21"/>
  <c r="N69" i="21"/>
  <c r="S68" i="21"/>
  <c r="R68" i="21"/>
  <c r="R67" i="21"/>
  <c r="Q67" i="21"/>
  <c r="S67" i="21" s="1"/>
  <c r="S66" i="21"/>
  <c r="R65" i="21"/>
  <c r="R71" i="21" s="1"/>
  <c r="Q65" i="21"/>
  <c r="S65" i="21" s="1"/>
  <c r="R64" i="21"/>
  <c r="R69" i="21" s="1"/>
  <c r="Q64" i="21"/>
  <c r="Q69" i="21" s="1"/>
  <c r="J64" i="21"/>
  <c r="S63" i="21"/>
  <c r="R62" i="21"/>
  <c r="Q62" i="21"/>
  <c r="S61" i="21"/>
  <c r="R61" i="21"/>
  <c r="Q61" i="21"/>
  <c r="O61" i="21"/>
  <c r="N61" i="21"/>
  <c r="S60" i="21"/>
  <c r="R60" i="21"/>
  <c r="Q60" i="21"/>
  <c r="O60" i="21"/>
  <c r="N60" i="21"/>
  <c r="R59" i="21"/>
  <c r="O59" i="21"/>
  <c r="N59" i="21"/>
  <c r="O58" i="21"/>
  <c r="N58" i="21"/>
  <c r="S57" i="21"/>
  <c r="J57" i="21"/>
  <c r="S56" i="21"/>
  <c r="J56" i="21"/>
  <c r="R55" i="21"/>
  <c r="R58" i="21" s="1"/>
  <c r="Q55" i="21"/>
  <c r="S55" i="21" s="1"/>
  <c r="J55" i="21"/>
  <c r="Q54" i="21"/>
  <c r="Q59" i="21" s="1"/>
  <c r="Q53" i="21"/>
  <c r="S53" i="21" s="1"/>
  <c r="G53" i="21"/>
  <c r="J53" i="21" s="1"/>
  <c r="Q52" i="21"/>
  <c r="S52" i="21" s="1"/>
  <c r="J52" i="21"/>
  <c r="O51" i="21"/>
  <c r="O141" i="21" s="1"/>
  <c r="N51" i="21"/>
  <c r="N141" i="21" s="1"/>
  <c r="O50" i="21"/>
  <c r="N50" i="21"/>
  <c r="O49" i="21"/>
  <c r="N48" i="21"/>
  <c r="N47" i="21"/>
  <c r="S46" i="21"/>
  <c r="R46" i="21"/>
  <c r="S45" i="21"/>
  <c r="R45" i="21"/>
  <c r="R44" i="21"/>
  <c r="Q44" i="21"/>
  <c r="O44" i="21"/>
  <c r="R43" i="21"/>
  <c r="Q43" i="21"/>
  <c r="S43" i="21" s="1"/>
  <c r="S42" i="21"/>
  <c r="S41" i="21"/>
  <c r="R41" i="21"/>
  <c r="Q41" i="21"/>
  <c r="R40" i="21"/>
  <c r="Q40" i="21"/>
  <c r="S40" i="21" s="1"/>
  <c r="R39" i="21"/>
  <c r="Q39" i="21"/>
  <c r="S39" i="21" s="1"/>
  <c r="R38" i="21"/>
  <c r="Q38" i="21"/>
  <c r="S38" i="21" s="1"/>
  <c r="S37" i="21"/>
  <c r="J37" i="21"/>
  <c r="Q36" i="21"/>
  <c r="S36" i="21" s="1"/>
  <c r="J36" i="21"/>
  <c r="Q35" i="21"/>
  <c r="S35" i="21" s="1"/>
  <c r="J35" i="21"/>
  <c r="Q34" i="21"/>
  <c r="S34" i="21" s="1"/>
  <c r="J34" i="21"/>
  <c r="R33" i="21"/>
  <c r="Q33" i="21"/>
  <c r="S33" i="21" s="1"/>
  <c r="I33" i="21"/>
  <c r="G33" i="21"/>
  <c r="F33" i="21"/>
  <c r="R32" i="21"/>
  <c r="Q32" i="21"/>
  <c r="S32" i="21" s="1"/>
  <c r="R31" i="21"/>
  <c r="Q31" i="21"/>
  <c r="S31" i="21" s="1"/>
  <c r="J31" i="21"/>
  <c r="R30" i="21"/>
  <c r="Q30" i="21"/>
  <c r="S30" i="21" s="1"/>
  <c r="R29" i="21"/>
  <c r="Q29" i="21"/>
  <c r="I29" i="21"/>
  <c r="G29" i="21"/>
  <c r="F29" i="21"/>
  <c r="R28" i="21"/>
  <c r="Q28" i="21"/>
  <c r="S28" i="21" s="1"/>
  <c r="R27" i="21"/>
  <c r="Q27" i="21"/>
  <c r="S27" i="21" s="1"/>
  <c r="J27" i="21"/>
  <c r="R26" i="21"/>
  <c r="Q26" i="21"/>
  <c r="S26" i="21" s="1"/>
  <c r="R25" i="21"/>
  <c r="Q25" i="21"/>
  <c r="S25" i="21" s="1"/>
  <c r="R24" i="21"/>
  <c r="Q24" i="21"/>
  <c r="S24" i="21" s="1"/>
  <c r="R23" i="21"/>
  <c r="Q23" i="21"/>
  <c r="G23" i="21"/>
  <c r="J23" i="21" s="1"/>
  <c r="S22" i="21"/>
  <c r="R22" i="21"/>
  <c r="S21" i="21"/>
  <c r="R21" i="21"/>
  <c r="R20" i="21"/>
  <c r="O20" i="21"/>
  <c r="S20" i="21" s="1"/>
  <c r="S19" i="21"/>
  <c r="R19" i="21"/>
  <c r="J19" i="21"/>
  <c r="S18" i="21"/>
  <c r="S17" i="21"/>
  <c r="N17" i="21"/>
  <c r="J17" i="21"/>
  <c r="R16" i="21"/>
  <c r="Q16" i="21"/>
  <c r="R15" i="21"/>
  <c r="Q15" i="21"/>
  <c r="N15" i="21"/>
  <c r="G15" i="21"/>
  <c r="J15" i="21" s="1"/>
  <c r="S14" i="21"/>
  <c r="S13" i="21"/>
  <c r="R13" i="21"/>
  <c r="S12" i="21"/>
  <c r="S11" i="21"/>
  <c r="S10" i="21"/>
  <c r="R10" i="21"/>
  <c r="R9" i="21"/>
  <c r="O9" i="21"/>
  <c r="S9" i="21" s="1"/>
  <c r="J9" i="21"/>
  <c r="S8" i="21"/>
  <c r="R8" i="21"/>
  <c r="J8" i="21"/>
  <c r="S7" i="21"/>
  <c r="R7" i="21"/>
  <c r="Q7" i="21"/>
  <c r="J7" i="21"/>
  <c r="Q6" i="21"/>
  <c r="S6" i="21" s="1"/>
  <c r="J6" i="21"/>
  <c r="Q5" i="21"/>
  <c r="O5" i="21"/>
  <c r="O47" i="21" s="1"/>
  <c r="J5" i="21"/>
  <c r="L137" i="22" l="1"/>
  <c r="K138" i="22"/>
  <c r="K137" i="22"/>
  <c r="L138" i="22"/>
  <c r="M109" i="22"/>
  <c r="M98" i="22"/>
  <c r="M59" i="22"/>
  <c r="K139" i="22"/>
  <c r="M139" i="22"/>
  <c r="L139" i="22"/>
  <c r="M69" i="22"/>
  <c r="M134" i="22"/>
  <c r="M50" i="22"/>
  <c r="M140" i="22" s="1"/>
  <c r="M99" i="22"/>
  <c r="I98" i="22"/>
  <c r="I137" i="22" s="1"/>
  <c r="M70" i="22"/>
  <c r="R99" i="21"/>
  <c r="O99" i="21"/>
  <c r="N134" i="21"/>
  <c r="R100" i="21"/>
  <c r="R139" i="21" s="1"/>
  <c r="Q109" i="21"/>
  <c r="R109" i="21"/>
  <c r="R70" i="21"/>
  <c r="N49" i="21"/>
  <c r="N139" i="21" s="1"/>
  <c r="Q50" i="21"/>
  <c r="S122" i="21"/>
  <c r="R47" i="21"/>
  <c r="Q49" i="21"/>
  <c r="Q51" i="21"/>
  <c r="Q141" i="21" s="1"/>
  <c r="J29" i="21"/>
  <c r="Q70" i="21"/>
  <c r="S103" i="21"/>
  <c r="Q47" i="21"/>
  <c r="Q48" i="21"/>
  <c r="Q140" i="21"/>
  <c r="O139" i="21"/>
  <c r="Q134" i="21"/>
  <c r="R49" i="21"/>
  <c r="R48" i="21"/>
  <c r="S23" i="21"/>
  <c r="S51" i="21" s="1"/>
  <c r="S141" i="21" s="1"/>
  <c r="R50" i="21"/>
  <c r="R140" i="21" s="1"/>
  <c r="J33" i="21"/>
  <c r="N140" i="21"/>
  <c r="S62" i="21"/>
  <c r="S70" i="21" s="1"/>
  <c r="S87" i="21"/>
  <c r="R134" i="21"/>
  <c r="R51" i="21"/>
  <c r="R141" i="21" s="1"/>
  <c r="S15" i="21"/>
  <c r="S49" i="21" s="1"/>
  <c r="S16" i="21"/>
  <c r="S29" i="21"/>
  <c r="S50" i="21" s="1"/>
  <c r="S140" i="21" s="1"/>
  <c r="S44" i="21"/>
  <c r="N137" i="21"/>
  <c r="O140" i="21"/>
  <c r="S54" i="21"/>
  <c r="R98" i="21"/>
  <c r="R137" i="21" s="1"/>
  <c r="Q100" i="21"/>
  <c r="S102" i="21"/>
  <c r="S142" i="21"/>
  <c r="S58" i="21"/>
  <c r="S71" i="21"/>
  <c r="S100" i="21"/>
  <c r="S5" i="21"/>
  <c r="Q58" i="21"/>
  <c r="S64" i="21"/>
  <c r="Q71" i="21"/>
  <c r="S76" i="21"/>
  <c r="S77" i="21"/>
  <c r="Q98" i="21"/>
  <c r="N109" i="21"/>
  <c r="S112" i="21"/>
  <c r="O134" i="21"/>
  <c r="O48" i="21"/>
  <c r="O92" i="21"/>
  <c r="S92" i="21" s="1"/>
  <c r="O109" i="21"/>
  <c r="M137" i="22" l="1"/>
  <c r="M138" i="22"/>
  <c r="N138" i="21"/>
  <c r="Q139" i="21"/>
  <c r="Q138" i="21"/>
  <c r="S109" i="21"/>
  <c r="R138" i="21"/>
  <c r="S48" i="21"/>
  <c r="S139" i="21"/>
  <c r="Q137" i="21"/>
  <c r="S59" i="21"/>
  <c r="S47" i="21"/>
  <c r="S134" i="21"/>
  <c r="S69" i="21"/>
  <c r="S98" i="21"/>
  <c r="O138" i="21"/>
  <c r="S99" i="21"/>
  <c r="O98" i="21"/>
  <c r="O137" i="21" s="1"/>
  <c r="S138" i="21" l="1"/>
  <c r="S137" i="21"/>
  <c r="E24" i="3"/>
  <c r="H4" i="20" l="1"/>
  <c r="G4" i="20"/>
  <c r="O142" i="19" l="1"/>
  <c r="N142" i="19"/>
  <c r="P141" i="19"/>
  <c r="P140" i="19"/>
  <c r="P139" i="19"/>
  <c r="P138" i="19"/>
  <c r="P137" i="19"/>
  <c r="S136" i="19"/>
  <c r="R136" i="19"/>
  <c r="Q136" i="19"/>
  <c r="O136" i="19"/>
  <c r="N136" i="19"/>
  <c r="S135" i="19"/>
  <c r="R135" i="19"/>
  <c r="Q135" i="19"/>
  <c r="O135" i="19"/>
  <c r="N135" i="19"/>
  <c r="S133" i="19"/>
  <c r="R133" i="19"/>
  <c r="Q133" i="19"/>
  <c r="O133" i="19"/>
  <c r="N133" i="19"/>
  <c r="S132" i="19"/>
  <c r="S131" i="19"/>
  <c r="R131" i="19"/>
  <c r="R130" i="19"/>
  <c r="Q130" i="19"/>
  <c r="S130" i="19" s="1"/>
  <c r="S129" i="19"/>
  <c r="R129" i="19"/>
  <c r="S128" i="19"/>
  <c r="R128" i="19"/>
  <c r="S127" i="19"/>
  <c r="R126" i="19"/>
  <c r="Q126" i="19"/>
  <c r="S126" i="19" s="1"/>
  <c r="R125" i="19"/>
  <c r="S125" i="19" s="1"/>
  <c r="Q125" i="19"/>
  <c r="S124" i="19"/>
  <c r="R124" i="19"/>
  <c r="O124" i="19"/>
  <c r="S123" i="19"/>
  <c r="R123" i="19"/>
  <c r="R122" i="19"/>
  <c r="Q122" i="19"/>
  <c r="O122" i="19"/>
  <c r="S122" i="19" s="1"/>
  <c r="N122" i="19"/>
  <c r="R121" i="19"/>
  <c r="Q121" i="19"/>
  <c r="S121" i="19" s="1"/>
  <c r="S120" i="19"/>
  <c r="R120" i="19"/>
  <c r="R119" i="19"/>
  <c r="Q119" i="19"/>
  <c r="O119" i="19"/>
  <c r="S119" i="19" s="1"/>
  <c r="S118" i="19"/>
  <c r="R118" i="19"/>
  <c r="S117" i="19"/>
  <c r="R117" i="19"/>
  <c r="S116" i="19"/>
  <c r="S115" i="19"/>
  <c r="O115" i="19"/>
  <c r="N115" i="19"/>
  <c r="R114" i="19"/>
  <c r="Q114" i="19"/>
  <c r="S114" i="19" s="1"/>
  <c r="S113" i="19"/>
  <c r="R112" i="19"/>
  <c r="Q112" i="19"/>
  <c r="S112" i="19" s="1"/>
  <c r="S111" i="19"/>
  <c r="R111" i="19"/>
  <c r="Q111" i="19"/>
  <c r="O111" i="19"/>
  <c r="N111" i="19"/>
  <c r="S110" i="19"/>
  <c r="R110" i="19"/>
  <c r="Q110" i="19"/>
  <c r="O110" i="19"/>
  <c r="N110" i="19"/>
  <c r="S108" i="19"/>
  <c r="R108" i="19"/>
  <c r="Q108" i="19"/>
  <c r="O108" i="19"/>
  <c r="N108" i="19"/>
  <c r="S107" i="19"/>
  <c r="R107" i="19"/>
  <c r="S106" i="19"/>
  <c r="R106" i="19"/>
  <c r="S105" i="19"/>
  <c r="R105" i="19"/>
  <c r="S104" i="19"/>
  <c r="R103" i="19"/>
  <c r="Q103" i="19"/>
  <c r="O103" i="19"/>
  <c r="N103" i="19"/>
  <c r="Q102" i="19"/>
  <c r="Q109" i="19" s="1"/>
  <c r="N102" i="19"/>
  <c r="N109" i="19" s="1"/>
  <c r="S101" i="19"/>
  <c r="R101" i="19"/>
  <c r="Q101" i="19"/>
  <c r="O101" i="19"/>
  <c r="N101" i="19"/>
  <c r="O100" i="19"/>
  <c r="N100" i="19"/>
  <c r="N99" i="19"/>
  <c r="S97" i="19"/>
  <c r="R97" i="19"/>
  <c r="S96" i="19"/>
  <c r="R96" i="19"/>
  <c r="S95" i="19"/>
  <c r="S94" i="19"/>
  <c r="S93" i="19"/>
  <c r="R92" i="19"/>
  <c r="N92" i="19"/>
  <c r="R91" i="19"/>
  <c r="Q91" i="19"/>
  <c r="R90" i="19"/>
  <c r="Q89" i="19"/>
  <c r="S89" i="19" s="1"/>
  <c r="Q88" i="19"/>
  <c r="S88" i="19" s="1"/>
  <c r="Q87" i="19"/>
  <c r="S87" i="19" s="1"/>
  <c r="R86" i="19"/>
  <c r="Q86" i="19"/>
  <c r="S86" i="19" s="1"/>
  <c r="S85" i="19"/>
  <c r="S84" i="19"/>
  <c r="O83" i="19"/>
  <c r="S83" i="19" s="1"/>
  <c r="S82" i="19"/>
  <c r="S81" i="19"/>
  <c r="S80" i="19"/>
  <c r="S79" i="19"/>
  <c r="S78" i="19"/>
  <c r="O77" i="19"/>
  <c r="O76" i="19"/>
  <c r="S76" i="19" s="1"/>
  <c r="S75" i="19"/>
  <c r="R74" i="19"/>
  <c r="Q74" i="19"/>
  <c r="R73" i="19"/>
  <c r="Q73" i="19"/>
  <c r="S73" i="19" s="1"/>
  <c r="S72" i="19"/>
  <c r="R72" i="19"/>
  <c r="Q72" i="19"/>
  <c r="O72" i="19"/>
  <c r="N72" i="19"/>
  <c r="O71" i="19"/>
  <c r="N71" i="19"/>
  <c r="O70" i="19"/>
  <c r="N70" i="19"/>
  <c r="O69" i="19"/>
  <c r="N69" i="19"/>
  <c r="S68" i="19"/>
  <c r="R68" i="19"/>
  <c r="R67" i="19"/>
  <c r="Q67" i="19"/>
  <c r="S67" i="19" s="1"/>
  <c r="S66" i="19"/>
  <c r="R65" i="19"/>
  <c r="R71" i="19" s="1"/>
  <c r="Q65" i="19"/>
  <c r="R64" i="19"/>
  <c r="R69" i="19" s="1"/>
  <c r="Q64" i="19"/>
  <c r="S64" i="19" s="1"/>
  <c r="J64" i="19"/>
  <c r="S63" i="19"/>
  <c r="R62" i="19"/>
  <c r="R70" i="19" s="1"/>
  <c r="Q62" i="19"/>
  <c r="S61" i="19"/>
  <c r="R61" i="19"/>
  <c r="Q61" i="19"/>
  <c r="O61" i="19"/>
  <c r="N61" i="19"/>
  <c r="S60" i="19"/>
  <c r="R60" i="19"/>
  <c r="Q60" i="19"/>
  <c r="O60" i="19"/>
  <c r="N60" i="19"/>
  <c r="R59" i="19"/>
  <c r="O59" i="19"/>
  <c r="N59" i="19"/>
  <c r="O58" i="19"/>
  <c r="N58" i="19"/>
  <c r="S57" i="19"/>
  <c r="J57" i="19"/>
  <c r="S56" i="19"/>
  <c r="J56" i="19"/>
  <c r="R55" i="19"/>
  <c r="R58" i="19" s="1"/>
  <c r="Q55" i="19"/>
  <c r="S55" i="19" s="1"/>
  <c r="J55" i="19"/>
  <c r="Q54" i="19"/>
  <c r="S54" i="19" s="1"/>
  <c r="S59" i="19" s="1"/>
  <c r="Q53" i="19"/>
  <c r="S53" i="19" s="1"/>
  <c r="G53" i="19"/>
  <c r="J53" i="19" s="1"/>
  <c r="Q52" i="19"/>
  <c r="J52" i="19"/>
  <c r="O51" i="19"/>
  <c r="O141" i="19" s="1"/>
  <c r="N51" i="19"/>
  <c r="N141" i="19" s="1"/>
  <c r="O50" i="19"/>
  <c r="N50" i="19"/>
  <c r="O49" i="19"/>
  <c r="N48" i="19"/>
  <c r="N47" i="19"/>
  <c r="S46" i="19"/>
  <c r="R46" i="19"/>
  <c r="S45" i="19"/>
  <c r="R45" i="19"/>
  <c r="R44" i="19"/>
  <c r="Q44" i="19"/>
  <c r="O44" i="19"/>
  <c r="R43" i="19"/>
  <c r="Q43" i="19"/>
  <c r="S43" i="19" s="1"/>
  <c r="S42" i="19"/>
  <c r="R41" i="19"/>
  <c r="Q41" i="19"/>
  <c r="S41" i="19" s="1"/>
  <c r="R40" i="19"/>
  <c r="Q40" i="19"/>
  <c r="S40" i="19" s="1"/>
  <c r="R39" i="19"/>
  <c r="Q39" i="19"/>
  <c r="S39" i="19" s="1"/>
  <c r="R38" i="19"/>
  <c r="Q38" i="19"/>
  <c r="S38" i="19" s="1"/>
  <c r="S37" i="19"/>
  <c r="J37" i="19"/>
  <c r="Q36" i="19"/>
  <c r="S36" i="19" s="1"/>
  <c r="J36" i="19"/>
  <c r="Q35" i="19"/>
  <c r="S35" i="19" s="1"/>
  <c r="J35" i="19"/>
  <c r="Q34" i="19"/>
  <c r="S34" i="19" s="1"/>
  <c r="J34" i="19"/>
  <c r="R33" i="19"/>
  <c r="Q33" i="19"/>
  <c r="S33" i="19" s="1"/>
  <c r="I33" i="19"/>
  <c r="G33" i="19"/>
  <c r="F33" i="19"/>
  <c r="R32" i="19"/>
  <c r="Q32" i="19"/>
  <c r="S32" i="19" s="1"/>
  <c r="R31" i="19"/>
  <c r="Q31" i="19"/>
  <c r="S31" i="19" s="1"/>
  <c r="J31" i="19"/>
  <c r="R30" i="19"/>
  <c r="R50" i="19" s="1"/>
  <c r="Q30" i="19"/>
  <c r="S30" i="19" s="1"/>
  <c r="R29" i="19"/>
  <c r="Q29" i="19"/>
  <c r="I29" i="19"/>
  <c r="G29" i="19"/>
  <c r="F29" i="19"/>
  <c r="R28" i="19"/>
  <c r="Q28" i="19"/>
  <c r="S28" i="19" s="1"/>
  <c r="R27" i="19"/>
  <c r="Q27" i="19"/>
  <c r="S27" i="19" s="1"/>
  <c r="J27" i="19"/>
  <c r="R26" i="19"/>
  <c r="Q26" i="19"/>
  <c r="S26" i="19" s="1"/>
  <c r="R25" i="19"/>
  <c r="Q25" i="19"/>
  <c r="S25" i="19" s="1"/>
  <c r="R24" i="19"/>
  <c r="Q24" i="19"/>
  <c r="S24" i="19" s="1"/>
  <c r="R23" i="19"/>
  <c r="Q23" i="19"/>
  <c r="S23" i="19" s="1"/>
  <c r="G23" i="19"/>
  <c r="J23" i="19" s="1"/>
  <c r="S22" i="19"/>
  <c r="R22" i="19"/>
  <c r="S21" i="19"/>
  <c r="R21" i="19"/>
  <c r="R20" i="19"/>
  <c r="O20" i="19"/>
  <c r="S20" i="19" s="1"/>
  <c r="S19" i="19"/>
  <c r="R19" i="19"/>
  <c r="J19" i="19"/>
  <c r="S18" i="19"/>
  <c r="S17" i="19"/>
  <c r="N17" i="19"/>
  <c r="J17" i="19"/>
  <c r="R16" i="19"/>
  <c r="Q16" i="19"/>
  <c r="S16" i="19" s="1"/>
  <c r="R15" i="19"/>
  <c r="Q15" i="19"/>
  <c r="S15" i="19" s="1"/>
  <c r="N15" i="19"/>
  <c r="G15" i="19"/>
  <c r="J15" i="19" s="1"/>
  <c r="S14" i="19"/>
  <c r="S13" i="19"/>
  <c r="R13" i="19"/>
  <c r="S12" i="19"/>
  <c r="S11" i="19"/>
  <c r="S10" i="19"/>
  <c r="R10" i="19"/>
  <c r="R9" i="19"/>
  <c r="O9" i="19"/>
  <c r="S9" i="19" s="1"/>
  <c r="J9" i="19"/>
  <c r="S8" i="19"/>
  <c r="R8" i="19"/>
  <c r="J8" i="19"/>
  <c r="R7" i="19"/>
  <c r="Q7" i="19"/>
  <c r="S7" i="19" s="1"/>
  <c r="J7" i="19"/>
  <c r="Q6" i="19"/>
  <c r="S6" i="19" s="1"/>
  <c r="J6" i="19"/>
  <c r="Q5" i="19"/>
  <c r="O5" i="19"/>
  <c r="J5" i="19"/>
  <c r="R140" i="19" l="1"/>
  <c r="S51" i="19"/>
  <c r="S141" i="19" s="1"/>
  <c r="Q58" i="19"/>
  <c r="O47" i="19"/>
  <c r="Q50" i="19"/>
  <c r="Q140" i="19" s="1"/>
  <c r="R98" i="19"/>
  <c r="J29" i="19"/>
  <c r="S102" i="19"/>
  <c r="R109" i="19"/>
  <c r="Q70" i="19"/>
  <c r="R49" i="19"/>
  <c r="O139" i="19"/>
  <c r="N134" i="19"/>
  <c r="N138" i="19" s="1"/>
  <c r="S44" i="19"/>
  <c r="N140" i="19"/>
  <c r="Q51" i="19"/>
  <c r="Q141" i="19" s="1"/>
  <c r="S52" i="19"/>
  <c r="S58" i="19" s="1"/>
  <c r="Q69" i="19"/>
  <c r="R48" i="19"/>
  <c r="J33" i="19"/>
  <c r="O140" i="19"/>
  <c r="S5" i="19"/>
  <c r="S29" i="19"/>
  <c r="S50" i="19" s="1"/>
  <c r="S140" i="19" s="1"/>
  <c r="O48" i="19"/>
  <c r="S62" i="19"/>
  <c r="S70" i="19" s="1"/>
  <c r="R100" i="19"/>
  <c r="Q100" i="19"/>
  <c r="S142" i="19"/>
  <c r="S47" i="19"/>
  <c r="S49" i="19"/>
  <c r="S103" i="19"/>
  <c r="O109" i="19"/>
  <c r="R47" i="19"/>
  <c r="R51" i="19"/>
  <c r="R141" i="19" s="1"/>
  <c r="S69" i="19"/>
  <c r="S134" i="19"/>
  <c r="Q134" i="19"/>
  <c r="N49" i="19"/>
  <c r="N139" i="19" s="1"/>
  <c r="S65" i="19"/>
  <c r="Q71" i="19"/>
  <c r="S100" i="19"/>
  <c r="N98" i="19"/>
  <c r="N137" i="19" s="1"/>
  <c r="O92" i="19"/>
  <c r="Q49" i="19"/>
  <c r="Q48" i="19"/>
  <c r="Q47" i="19"/>
  <c r="S74" i="19"/>
  <c r="Q98" i="19"/>
  <c r="O99" i="19"/>
  <c r="S77" i="19"/>
  <c r="R99" i="19"/>
  <c r="R134" i="19"/>
  <c r="O134" i="19"/>
  <c r="S48" i="19"/>
  <c r="Q99" i="19"/>
  <c r="Q59" i="19"/>
  <c r="R137" i="19" l="1"/>
  <c r="R138" i="19"/>
  <c r="R139" i="19"/>
  <c r="Q137" i="19"/>
  <c r="O138" i="19"/>
  <c r="S99" i="19"/>
  <c r="Q138" i="19"/>
  <c r="S92" i="19"/>
  <c r="O98" i="19"/>
  <c r="O137" i="19" s="1"/>
  <c r="S109" i="19"/>
  <c r="Q139" i="19"/>
  <c r="S71" i="19"/>
  <c r="S139" i="19" s="1"/>
  <c r="S138" i="19" l="1"/>
  <c r="S98" i="19"/>
  <c r="S137" i="19" s="1"/>
  <c r="D24" i="3" l="1"/>
  <c r="F2" i="1" l="1"/>
  <c r="F3" i="1"/>
</calcChain>
</file>

<file path=xl/comments1.xml><?xml version="1.0" encoding="utf-8"?>
<comments xmlns="http://schemas.openxmlformats.org/spreadsheetml/2006/main">
  <authors>
    <author>Lusine Grigoryan</author>
    <author>Armen.Manukyan</author>
    <author>Susanna Sargsyan</author>
    <author>Armen Manukyan</author>
  </authors>
  <commentList>
    <comment ref="E8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KFW-09122014</t>
        </r>
      </text>
    </comment>
    <comment ref="E9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KFW-09122014-1</t>
        </r>
      </text>
    </comment>
    <comment ref="E1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IBRD-01062011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Համաձայն 26.04.2017թ. կնքված համաձայնագրի  մասհանման վերջնաժամկետ է սահմանվել 30.06.2018թ. (30.06.2016 փոխարեն)
Համաձայն 23.11.2018թ. կնքված համաձայնագրի մասհանման վերջնաժամկետ է սահմանվել 31.12.2019թ. (30.06.2018 փոխարեն)
Համաձայն 14.02.2020թ. նքված համաձայնագրի գումարը նվազել է 3,5 մլն դոլարով` կազմելով 35,5 մլն, իսկ մասհանման վերջնաժամկետ է սահմանվել 31.12.2020թ. (31.12.2020 փոխարեն)
30.04.2021թ. դրությամբ առկա 1,434,414.80 ԱՄՆ դոլար ենթավարկի մնացորդը չեղարկվել է (27.09.2021թ. կնքված փոփոխոիթյան)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15.05.2022թ.-ից</t>
        </r>
      </text>
    </comment>
    <comment ref="H17" authorId="0" shapeId="0">
      <text>
        <r>
          <rPr>
            <b/>
            <sz val="10"/>
            <color indexed="81"/>
            <rFont val="Tahoma"/>
            <family val="2"/>
          </rPr>
          <t>Lusine Grigoryan:
Հ</t>
        </r>
        <r>
          <rPr>
            <sz val="10"/>
            <color indexed="81"/>
            <rFont val="Tahoma"/>
            <family val="2"/>
          </rPr>
          <t>ամաձայն 13.07.20թ. կնքված համաձայնագրի գումարը նվազել է 2,5 մլն դոլարով` կազմելով 37,5 մլն
Համաձայն 14.02.2020թ. կնքված համաձայնագրի գումարը նվազել է 1,5 մլն դոլարով` կազմելով 36,0 մլն և մասհանման վերջնաժամկետ է սահմանվել 31.12.2020թ. 
Համաձայն 03.02.2021թ. կնքված համաձայնագրով մասհանման վերջնաժամկետ է սահմանվել 31.12.2023թ.(նախկին 31.12.2020թ փոխարեն)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15.02.2022թ.-ից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52 մլն դոլար</t>
        </r>
      </text>
    </comment>
    <comment ref="H19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29.06.2018թ. Համաձայնագրով 21.794.486  փոխարինվել է 28.194.486
14.02.2020թ. Համաձայնագրով 28.194.486 դոլար գումարը նվազել է 5 մլն և   փոխարինվել է 23.194.486
03.02.2021թ. Համաձայնագրով մասհանման ժամկետը երկարաձգվել է 31.12.2023 (31.12.2020 փոխարեն)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11.06.2018թ. Համաձայնագրով 30.205.514  փոխարինվել է 22.305.514
14.02.2020թ. Համաձայնագրով 22.305.514    փոխարինվել է 16.662.617
</t>
        </r>
      </text>
    </comment>
    <comment ref="H23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18.06.2020թ. Համաձայնագրով 15.192.292 SDR փոխարինվել է 13.988.153 SDR, իսկ մասհանման ժամկետը երկարաձգվել է մինչև 30.06.2022թ (30.06.2020 փոխարեն)</t>
        </r>
      </text>
    </comment>
    <comment ref="H2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25.05.2020թ. Համաձայնագրով 8.829.708 SDR փոխարինվել է 10.098.535 SDR, իսկ մասհանման ժամկետը երկարաձգվել է մինչև 30.06.2022թ (30.06.2020 փոխարեն)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Վարկի (Գ) բաղադրիչի մասով մայր գումարի տրամադրումը հաշվարկվում է  հաշվարկվում է Համաձայնագրի 7.4 կետում բերված բանաձևով մասհանցած գումար*0,29*1,3  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Վարկի (Գ) բաղադրիչի մասով մայր գումարի տրամադրումը հաշվարկվում է  հաշվարկվում է Համաձայնագրի 7.4 կետում բերված բանաձևով մասհանցած գումար*0,71*1,3  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նախկինում՝ «Որոտանի հիդրոէլեկտրակայանների համալիր »  ՓԲԸ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9.713.669 ճապ. Իեն գումարը չեղյալ է համարվել</t>
        </r>
      </text>
    </comment>
    <comment ref="C67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730-AM</t>
        </r>
      </text>
    </comment>
    <comment ref="C68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779-AM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վարչապետ Տիգրան Սարգսյանի մոտ 2011թ. ապրիլի 27-ին կայացած` խորհրդակցության N 23.8/75092-11 արձանագրություն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19.07.2013թ. N 900-Ա որոշում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 ՀՀ կառավարության 20.06.2011թ.  N  681 - Ա որոշում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02.08.2012թ. N 1018  -Ն որոշում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06.02.2014թ.  N  194 -Ն որոշում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10.12.2015թ. N 1436-Ն որոշում</t>
        </r>
      </text>
    </comment>
    <comment ref="E85" authorId="1" shapeId="0">
      <text>
        <r>
          <rPr>
            <b/>
            <sz val="8"/>
            <color indexed="81"/>
            <rFont val="Tahoma"/>
            <family val="2"/>
          </rPr>
          <t>Armen.Manukyan:</t>
        </r>
        <r>
          <rPr>
            <sz val="8"/>
            <color indexed="81"/>
            <rFont val="Tahoma"/>
            <family val="2"/>
          </rPr>
          <t xml:space="preserve">
ՀՀ կառավարության 29.01.2016թ. N 73-Ն որոշում</t>
        </r>
      </text>
    </comment>
    <comment ref="K8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ՀՀ կառավարության 07.12.2017թ. N 1585-Ն որոշման համաձայն 163,143,274 դրամ գումարի չափով մայր գումարի նվազեցում</t>
        </r>
      </text>
    </comment>
    <comment ref="F96" authorId="2" shapeId="0">
      <text>
        <r>
          <rPr>
            <b/>
            <sz val="9"/>
            <color indexed="81"/>
            <rFont val="Tahoma"/>
            <family val="2"/>
          </rPr>
          <t>Susanna Sargsyan:</t>
        </r>
        <r>
          <rPr>
            <sz val="9"/>
            <color indexed="81"/>
            <rFont val="Tahoma"/>
            <family val="2"/>
          </rPr>
          <t xml:space="preserve">
Համաձայն ՀՀ կառ.24.12.20թ. 2174-Ն որոշման, 25.12.2020թ.-ին կնքվել է համաձայնագիր, որով փոփոխվել են տոկոսն ու մարման ժամկետը</t>
        </r>
      </text>
    </comment>
    <comment ref="F97" authorId="2" shapeId="0">
      <text>
        <r>
          <rPr>
            <b/>
            <sz val="9"/>
            <color indexed="81"/>
            <rFont val="Tahoma"/>
            <family val="2"/>
          </rPr>
          <t>Susanna Sargsyan:</t>
        </r>
        <r>
          <rPr>
            <sz val="9"/>
            <color indexed="81"/>
            <rFont val="Tahoma"/>
            <family val="2"/>
          </rPr>
          <t xml:space="preserve">
Համաձայն ՀՀ կառ.24.12.20թ. 2176-Ա որոշման, 25.12.2020թ.-ին կնքվել է համաձայնագիր, որով փոփոխվել են տոկոսն ու մարման ժամկետը</t>
        </r>
      </text>
    </comment>
    <comment ref="C102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1-ին միջոցառում</t>
        </r>
      </text>
    </comment>
    <comment ref="F102" authorId="3" shapeId="0">
      <text>
        <r>
          <rPr>
            <b/>
            <sz val="9"/>
            <color indexed="81"/>
            <rFont val="Tahoma"/>
            <family val="2"/>
          </rPr>
          <t>Armen Manukyan:</t>
        </r>
        <r>
          <rPr>
            <sz val="9"/>
            <color indexed="81"/>
            <rFont val="Tahoma"/>
            <family val="2"/>
          </rPr>
          <t xml:space="preserve">
Համաձայն 02.06.20թ. Փոփոխություններ և լրացումներ կատարելու մասին համաձայնագրի՝ ԳՖԿ-ների կողմից վարկի մարման առավելագույն ժամկետը 31.05.22թ., որից հետո  հետո 3-րդ աշխատանքային օրում գումարը պետք է փոխանցվի 900005052015 հաշվեհամարին:</t>
        </r>
      </text>
    </comment>
    <comment ref="I102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Ամբողջովին տրամադրված</t>
        </r>
      </text>
    </comment>
    <comment ref="C103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3-րդ միջոցառում</t>
        </r>
      </text>
    </comment>
    <comment ref="K103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140537000+5009140 ավելացվել է 2022թ. հոկտեմբերին
Փաստացի տրամադրված վարկերի հետ վերադարձը եղել է 
2020թ.ընթացքում 140537000 դրամ
2021թ.ընթացքում 5009140 դրամ
200000 եկելա 2-րդ միջոցառւոմից</t>
        </r>
      </text>
    </comment>
  </commentList>
</comments>
</file>

<file path=xl/sharedStrings.xml><?xml version="1.0" encoding="utf-8"?>
<sst xmlns="http://schemas.openxmlformats.org/spreadsheetml/2006/main" count="3149" uniqueCount="501">
  <si>
    <t xml:space="preserve">
 ՀՀ ԿԲ գերմանահայկական հիմնադրամին վարկավորում</t>
  </si>
  <si>
    <t xml:space="preserve">
Կորոնավիրուսի (COVID-19) տնտեսական հետևանքների չեզոքացման  1-ին միջոցառման շրջանակներում ՀՀ ԿԲ գերմանահայկական հինադրամին վարկավորում</t>
  </si>
  <si>
    <t>31.03.2020թ
16/310320-1 ֆինանսական գործակալության պայմանագիր</t>
  </si>
  <si>
    <t>ՀՀ դրամ</t>
  </si>
  <si>
    <t xml:space="preserve"> ՀՀ էկոնոմիկայի նախարարություն</t>
  </si>
  <si>
    <t xml:space="preserve">
Կորոնավիրուսի (COVID-19) տնտեսական հետևանքների չեզոքացման  3-րդ միջոցառման շրջանակներում ՀՀ ԿԲ գերմանահայկական հիմնադրամին վարկավորում</t>
  </si>
  <si>
    <t>31.12.2024թ.</t>
  </si>
  <si>
    <t xml:space="preserve">
Կորոնավիրուսի (COVID-19) տնտեսական հետևանքների չեզոքացման  19-րդ միջոցառման շրջանակներում իրականացվող վարկավորում</t>
  </si>
  <si>
    <t>25.12.2028թ.</t>
  </si>
  <si>
    <t xml:space="preserve">
Կորոնավիրուսի (COVID-19) տնտեսական հետևանքների չեզոքացման  2-րդ միջոցառման շրջանակներում իրականացվող վարկավորում</t>
  </si>
  <si>
    <t xml:space="preserve">   ՀՀ կառավարության 26․03․2020թ․ 356-Լ որոշում, ՀՀ կառավարության 31․03․2020թ․ 416-Լ որոշում           Գործակալական պայմանագիր 16/120520-1</t>
  </si>
  <si>
    <t>07.05.2024թ.</t>
  </si>
  <si>
    <t xml:space="preserve">      ՀՀ կառավարության 26․03․2020թ․ 356-Լ որոշում, ՀՀ կառավարության 31․03․2020թ․ 416-Լ որոշում,          Գործակալական պայմանագիր 16/220420-1      </t>
  </si>
  <si>
    <t>30.04.2024թ.</t>
  </si>
  <si>
    <t>ՀՀ կառավարության 31․03․2020թ․ 416-Լ որոշում</t>
  </si>
  <si>
    <t>30.06.2022թ.</t>
  </si>
  <si>
    <t>2020 թվականի ընթացքում ՀՀ պետական բյուջեից կորոնավիրուսի (COVID-19) տնտեսական հետևանքների չեզոքացման  1-ին, 2-րդ, 3-րդ և 19-րդ միջոցառումների շրջանակներում տրամադրված բյուջետային աջակցություն</t>
  </si>
  <si>
    <t xml:space="preserve">25.12.2020թ. Փոխառության պայմանագիր Н420-20 ( ՀՀ կառավարության 27.05.2020թ.   854-Լ որոշում, ՀՀ կառավարության 02․07․2020թ․ 1094-Ն որոշում, ՀՀ կառավարության 27.07.2020թ. 1233-Ն որոշում)            </t>
  </si>
  <si>
    <t>Տ Ե Ղ Ե Կ Ա Ն Ք</t>
  </si>
  <si>
    <t>Հ/Հ</t>
  </si>
  <si>
    <t>Վարկառու</t>
  </si>
  <si>
    <t xml:space="preserve">Արտաքին պարտքի և ՀՀ պետական բյուջեի միջոցների հաշվին իրականացվող ծրագիր </t>
  </si>
  <si>
    <t>Վարկի աղբյուրը</t>
  </si>
  <si>
    <t>Արժույթը</t>
  </si>
  <si>
    <t>Ենթավարկի, բյուջետային վարկի, պայմանագրով փոխանցված պարտավորության նախատեսված գումարը</t>
  </si>
  <si>
    <t>Ենթավարկի, բյուջետային վարկի, պայմանագրով փոխանցված պարտավորության փաստացի  գումարը</t>
  </si>
  <si>
    <t>Ենթավարկի, բյուջետային վարկի տոկոսադրույքը</t>
  </si>
  <si>
    <t>Մարված վարկի հիմնական գումար</t>
  </si>
  <si>
    <t>Մարված տոկոսագումար</t>
  </si>
  <si>
    <t>Վարկի հիմնական գումարի մնացորդ</t>
  </si>
  <si>
    <t>Գրավի առարկան</t>
  </si>
  <si>
    <t>«Բարձրավոլտ էլեկտրացանցեր» ՓԲԸ</t>
  </si>
  <si>
    <t xml:space="preserve"> ««Գյումրի-2» ենթակայանի վերականգնում» I փուլ</t>
  </si>
  <si>
    <t>Գերմանիայի վերականգնվող վարկերի բանկ (KfW)</t>
  </si>
  <si>
    <t>30.06.2019թ.  - 30.06.2049թ.</t>
  </si>
  <si>
    <t>Եվրո</t>
  </si>
  <si>
    <t>0.75% և 0.25% պարտավճար</t>
  </si>
  <si>
    <t>Հասարակ մուրհաիկներ, ակտիվներ</t>
  </si>
  <si>
    <t xml:space="preserve"> ««Գյումրի-2» ենթակայանի վերականգնում» II փուլ</t>
  </si>
  <si>
    <t>30.12.2012թ. -30.06.2024թ.</t>
  </si>
  <si>
    <t>վերաֆինանսավորման դրույք + 1.25% (յուրաքանչյուր մասհանման համար սահմանված)</t>
  </si>
  <si>
    <t>Հասարակ մուրհակներ և յուրաքանչյուր տարվա դեկտեմբեր ամսվա դրությամբ ձեռք բերված ակտիվներ</t>
  </si>
  <si>
    <t>«Հոսանքահաղորդիչ համակարգի վերականգնում (Կամո և Վանաձոր-2 ենթակայաններ)»</t>
  </si>
  <si>
    <t>30.06.2009թ. - 30.12.2038թ.</t>
  </si>
  <si>
    <t xml:space="preserve">«Կովկասյան էլեկտրահաղորդման ցանց I (Հայաստան-Վրաստան հաղորդիչ գիծ/ենթակայաններ)» </t>
  </si>
  <si>
    <t>30.12.2019թ. -30.12.2029թ.</t>
  </si>
  <si>
    <t>1.85% և 0.25% պարտավճար</t>
  </si>
  <si>
    <t>30.06.2025թ. -30.12.2054թ.</t>
  </si>
  <si>
    <t>«Կովկասյան էլեկտրահաղորդման ցանց I (Հայաստան-Վրաստան հաղորդիչ գիծ/ենթակայաններ) (Փուլ 1 + Փուլ 2a)»</t>
  </si>
  <si>
    <t>Մասհանման ամսաթվից  մինչև 28 տարի (արտոնյալ ժամկետ՝ 5 տարի)</t>
  </si>
  <si>
    <t>փոփոխական</t>
  </si>
  <si>
    <t>Հասարակ մուրհակներ և յուրաքանչյուր տարվա դեկտեմբեր ամսվա դրությամբ ձեռք բերված ակտիվներ:  17.05.2005թ. կնքված գրավի պայմանագրով գրավադրված գույքը:</t>
  </si>
  <si>
    <t>«Կովկասյան էլեկտրահաղորդման ցանց III (Ծրագրի փուլ 2)» (Հայաստան-Վրաստան հաղորդիչ գիծ/ենթակայաններ)»</t>
  </si>
  <si>
    <t>30.12.2020թ. -30.12.2030թ.</t>
  </si>
  <si>
    <t>«Էլեկտրաէներգիայի մատակարարման հուսալիություն»</t>
  </si>
  <si>
    <t>Վերակառուցման և Զարգացման Միջազգային Բանկի (ՎԶՄԲ)</t>
  </si>
  <si>
    <t>15.11.2021թ. -15.05.2036թ.</t>
  </si>
  <si>
    <t>ԱՄՆ դոլար</t>
  </si>
  <si>
    <t>Հասարակ մուրհակներ</t>
  </si>
  <si>
    <t>««Էլեկտրաէներգիայի մատակարարման հուսալիություն» ծրագրի լրացուցիչ ֆինանսավորում»</t>
  </si>
  <si>
    <t>15.08.2024թ. -15.08.2039թ.</t>
  </si>
  <si>
    <t xml:space="preserve">«Էլեկտրահաղորդման ցանցի բարելավում ծրագիր» </t>
  </si>
  <si>
    <t>15.11.2039թ.</t>
  </si>
  <si>
    <t>«Երևանի ջերմաէլեկտրակենտրոն» ՓԲԸ</t>
  </si>
  <si>
    <t>«Էլեկտրաէներգիայի հաղորդման ցանցի վերակառուցում»</t>
  </si>
  <si>
    <t>Ասիական Զարգացման Բանկ (ԱԶԲ)</t>
  </si>
  <si>
    <t>15.11.2019թ. -15.05.2039թ.</t>
  </si>
  <si>
    <t>ՀՓԻ</t>
  </si>
  <si>
    <t>«Էլեկտրաէներգետիկական համակարգի օպերատոր» ՓԲԸ</t>
  </si>
  <si>
    <t xml:space="preserve">«էլեկտրահաղորդման և բաշխիչ համակարգեր»   N 3175 AM </t>
  </si>
  <si>
    <t>Զարգացման Միջազգային Ընկերակցություն (ՄԶԸ)</t>
  </si>
  <si>
    <t>05.06.2009թ. - 05.12.2033թ.</t>
  </si>
  <si>
    <t>05.12.2008թ. -05.12.2023թ.</t>
  </si>
  <si>
    <t>յուրաքանչյուր տարվա հունվարի 1-ի փոփոխական տոկոսադրույք +0.5%</t>
  </si>
  <si>
    <t>«Էլեկտրահաղորդման և բաշխիչ համակարգեր»</t>
  </si>
  <si>
    <t>Ճապոնիայի Անդրծովյան տնտեսական համագործակցության հիմնադրամ (JICA)</t>
  </si>
  <si>
    <t>10.02.2019թ. -10.02.2039թ.</t>
  </si>
  <si>
    <t>Ճապոնական իեն</t>
  </si>
  <si>
    <t>«Հայաստանի էլեկտրական ցանցեր» ՓԲԸ</t>
  </si>
  <si>
    <t>«Հայաստանի վերականգնվող էներգետիկայի և էներգախնայողության հիմնադրամ»</t>
  </si>
  <si>
    <t>«Քաղաքային ջեռուցման ծրագիր»</t>
  </si>
  <si>
    <t>10.11.2015թ. - 10.11.2045թ.</t>
  </si>
  <si>
    <t>Առանց գրավի</t>
  </si>
  <si>
    <t>«Միջազգային էներգետիկ կորպորացիա» ՓԲԸ</t>
  </si>
  <si>
    <t>«Էներգետիկայի բնագավառում անհապաղ օգնություն (Քանաքեռի հիդրոէլեկտրակայան)»</t>
  </si>
  <si>
    <t>25.11.2010թ. - 25.11.2041թ.</t>
  </si>
  <si>
    <t xml:space="preserve"> «ՔոնթուրԳլոբալ  Հիդրո Կասկադ» ՓԲԸ </t>
  </si>
  <si>
    <t xml:space="preserve">Որոտանի հիդրոէլեկտրակայանների համակարգի վերականգնման  </t>
  </si>
  <si>
    <t>30.12.2030թ.</t>
  </si>
  <si>
    <t>3.24% և 0.25% պարտավճար</t>
  </si>
  <si>
    <t>հասարակ անտոկոս մուրհակ</t>
  </si>
  <si>
    <t>30.06.2050թ.</t>
  </si>
  <si>
    <t>30.12.2031թ.</t>
  </si>
  <si>
    <t>4.12% և 0.25% պարտավճար</t>
  </si>
  <si>
    <t>«Երևան Ջերմաէլեկտրակենտրոն» ՓԲԸ</t>
  </si>
  <si>
    <t xml:space="preserve">«Երևանի համակցված շոգեգազային ցիկլով էլեկտրակայանի (էներգաբլոկի) նախագծի իրականացում» </t>
  </si>
  <si>
    <t>20.03.2015թ. -20.03.2045թ.</t>
  </si>
  <si>
    <t>հասարակ անտոկոս մուրհակ և Ընկերությանը պատկանող հողամասը և դրա վրա կառուցված շինությունները</t>
  </si>
  <si>
    <t>«Օժանդակություն էներգահամակարգին»</t>
  </si>
  <si>
    <t>Համաշխարհային բանկ</t>
  </si>
  <si>
    <t>17.12.2008թ. -17.12.2022թ.</t>
  </si>
  <si>
    <t>«Հայկական ատոմային էլեկտրոկայան» ՓԲԸ</t>
  </si>
  <si>
    <t>Ֆրանսիա</t>
  </si>
  <si>
    <t>10.12.2008թ. -30.12.2035թ.</t>
  </si>
  <si>
    <t xml:space="preserve">ՀՀ կառավարության 11.06.2020թ.  N 953-Ն որոշում </t>
  </si>
  <si>
    <t>25.06.2022թ. -25.06.2032թ.</t>
  </si>
  <si>
    <t xml:space="preserve">Հայաստանի Հանրապետության տարածքում ատոմային էլեկտրակայանի շահագործման ժամկետի երկարաձգման աշխատանքների ֆինանսավորման </t>
  </si>
  <si>
    <t xml:space="preserve">կայունացման դեպոզիտ հաշիվ </t>
  </si>
  <si>
    <t>10.01.2020թ. -10.07.2029թ.</t>
  </si>
  <si>
    <t xml:space="preserve">«Էներգետիկայի ոլորտի ֆինանսական առողջացում» </t>
  </si>
  <si>
    <t>15.11.2030թ. -15.11.2040թ.</t>
  </si>
  <si>
    <t>Հասարակ մուրհակներ, ՀԱԷԿ-ի սեփականություն հանդիսացող ակտիվները</t>
  </si>
  <si>
    <t>Հասարակ մուրհակներ, 11.07.2005թ. կնքված ենթավարկային համաձայնագրով ստանձնած պարտավորությունների ապահովման համար գրավադրված գույքը</t>
  </si>
  <si>
    <t>«Երքաղլույս» ՓԲԸ</t>
  </si>
  <si>
    <t>Երևանի քաղաքային լուսավորության ծրագիր</t>
  </si>
  <si>
    <t>16.10.2018թ. -16.04.2025թ.</t>
  </si>
  <si>
    <t xml:space="preserve">Ծրագիրն իրականացնողի կանոնադրությամբ նախատեսված Երևան քաղաքիարտաքին լուսավորության ցանցի շահագործման, հիմնանորագման և պահպանման ծրագրի իրականացման համար տրամադրվող ֆինանսական միջոցները </t>
  </si>
  <si>
    <t>«Նաիրիտ գործարան» ՓԲԸ*</t>
  </si>
  <si>
    <t xml:space="preserve">Պահանջի իրավունքի զիջման Համաձայնագիր
</t>
  </si>
  <si>
    <t>Պետական բյուջե</t>
  </si>
  <si>
    <t>01.07.2018թ.</t>
  </si>
  <si>
    <t>Ընդամենը ՀՀ Էներգետիկայի ոլորտում տրամադրված վարկեր</t>
  </si>
  <si>
    <t>«Կարեն Դեմերճյանի անվան Երևանի մետրոպոլիտեն» ՓԲԸ (ՎԶԵԲ I)</t>
  </si>
  <si>
    <t>«Երևանի մետրոպոլիտենի վերականգնում» I ծրագիր (ՎԶԵԲ)</t>
  </si>
  <si>
    <t>Վերակառուցման և Զարգացման Եվրոպական  Բանկ (ՎԶԵԲ)</t>
  </si>
  <si>
    <t>16.04.2013թ. - 16.10.2024թ.</t>
  </si>
  <si>
    <t>6-ամսյա Եվրոibor+1</t>
  </si>
  <si>
    <t>«Կարեն Դեմերճյանի անվան Երևանի մետրոպոլիտեն» ՓԲԸ (ՎԶԵԲ II)</t>
  </si>
  <si>
    <t>«Երևանի մետրոպոլիտենի վերականգնում» II ծրագիր (ՎԶԵԲ)</t>
  </si>
  <si>
    <t>16.10.2013թ. -16.04.2027թ.</t>
  </si>
  <si>
    <t>«Կարեն Դեմերճյանի անվան Երևանի մետրոպոլիտեն» ՓԲԸ (ԵՆԲ I)</t>
  </si>
  <si>
    <t>«Երևանի մետրոպոլիտենի վերականգնում» I ծրագիր (ԵՆԲ)</t>
  </si>
  <si>
    <t xml:space="preserve">Եվրոպական Ներդրումային Բանկի (ԵՆԲ) </t>
  </si>
  <si>
    <t>16.10.2015թ. - 16.04.2027թ.</t>
  </si>
  <si>
    <t>«Կարեն Դեմերճյանի անվան Երևանի մետրոպոլիտեն» ՓԲԸ  (ԵՆԲ II)</t>
  </si>
  <si>
    <t>«Երևանի մետրոպոլիտենի վերականգնում» II ծրագիր (ԵՆԲ)</t>
  </si>
  <si>
    <t>16.04.2019թ. -16.10.2033թ.</t>
  </si>
  <si>
    <t>Ընդամենը «Կարեն Դեմերճյանի անվան Երևանի մետրոպոլիտեն» ՓԲԸ տրամադրված վարկեր</t>
  </si>
  <si>
    <t>ՀՀ կենտրոնական բանկ</t>
  </si>
  <si>
    <t>Տնտեսության կայունացման վարկավորման ծրագիր</t>
  </si>
  <si>
    <t>15.12.2012թ. 15.06.2026թ.</t>
  </si>
  <si>
    <t>6-ամսյա Լibor+4%</t>
  </si>
  <si>
    <t>ՀՀ գյուղատնտեսության ոլորտի աջակցում</t>
  </si>
  <si>
    <t>30.06.2024</t>
  </si>
  <si>
    <t>«Ավանդների փոխհատուցումը երաշխավորող հիմնադրամ» ՓԲԸ</t>
  </si>
  <si>
    <t>«Հայաստանի Հանրապետության առևտրային բանկերում ֆիզիկական անձանց բանկային ավանդների հատուցումը երաշխավորող համակարգի ամրապնդում»</t>
  </si>
  <si>
    <t>25.12.2005թ. -25.06.2045թ.</t>
  </si>
  <si>
    <t>«Ակբա-Կրեդիտ Ագրիկոլ Բանկ» ՓԲԸ Հյուսիս Արևմտյան</t>
  </si>
  <si>
    <t>«Հյուսիս-Արևմտյան շրջանների գյուղատնտեսական ծառայությունների ծրագիր»</t>
  </si>
  <si>
    <t>ԳԶՄՀ</t>
  </si>
  <si>
    <t>01.06.2008թ. -01.12.2037թ.</t>
  </si>
  <si>
    <t>«Ակբա-Կրեդիտ Ագրիկոլ Բանկ» ՓԲԸ Գյուղատնտեսության ծառ.</t>
  </si>
  <si>
    <t>«Գյուղատնտեսական ծառայությունների ծրագիր»</t>
  </si>
  <si>
    <t>15.10.2011թ.-15.04.2041թ.</t>
  </si>
  <si>
    <t>Հայաստանում գյուղական տարածքների տնտեսական զարգացման հիմնադրամ (FREDA)</t>
  </si>
  <si>
    <t>08.01.2008թ.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</si>
  <si>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25.01.2018-25.01.2047թ.թ.</t>
  </si>
  <si>
    <t>02.09.2015թ.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</si>
  <si>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25.01.2025-25.01.2039թ.թ.</t>
  </si>
  <si>
    <t>Ընդամենը ՀՀ կենտրոնական բանկ, այլ բանկեր և վարկային կազմակերպություններին տրամադրված վարկեր</t>
  </si>
  <si>
    <t>«Վանաձորի բաղնիքային տնտեսություն»</t>
  </si>
  <si>
    <t>«Աղետի գոտու վերականգնում»</t>
  </si>
  <si>
    <t>01.11.2026թ.</t>
  </si>
  <si>
    <t>Վարկի հաշվին կառուցված գույքը</t>
  </si>
  <si>
    <t>«Երևանի քաղաքային նոր աղբավայր» ՓԲԸ</t>
  </si>
  <si>
    <t>Երևանի կոշտ թափոններ  (ՎԶԵԲ-ի ծրագիր)</t>
  </si>
  <si>
    <t>16.04.2018թ. -16.10.2029թ.</t>
  </si>
  <si>
    <t>Ծրագրի շրջանակներում ձեռք բերվող ակտիվները</t>
  </si>
  <si>
    <t>Երևանի կոշտ թափոններ  (ԵՆԲ-ի ծրագիր)</t>
  </si>
  <si>
    <t xml:space="preserve">«Կոտայքի և Գեղարքունիքի ԿԿԹԿ» ՍՊԸ </t>
  </si>
  <si>
    <t>«Հայաստանի վերականգնվող էներգետիկայի հիմնադրամ</t>
  </si>
  <si>
    <t>Գյուղական կարողությունների ստեղծման ծրագրի համաֆինանսավորում</t>
  </si>
  <si>
    <t>25.12.2012թ. -31.12.2022թ.</t>
  </si>
  <si>
    <t>«Ռադիոիզոտոպների արտադրության կենտրոն» ՓԲԸ</t>
  </si>
  <si>
    <t xml:space="preserve">Լիբոր+4 </t>
  </si>
  <si>
    <t>«Ավտոմատիկա» ՓԲԸ</t>
  </si>
  <si>
    <t>15.12.2020թ.</t>
  </si>
  <si>
    <t>ք. Երևան, Թևոսյան 3/1 հասցեում գտնվող անշարժ գույք</t>
  </si>
  <si>
    <t>«Բերրիություն ԱՄ-ի Մասիսի շրջանային միավորում» ՍՊԸ*</t>
  </si>
  <si>
    <t>Գյուղատնտեսության վարկավորման ծրագիր</t>
  </si>
  <si>
    <t>20.12.2016թ.</t>
  </si>
  <si>
    <t>ԳՖԿ ԾԻԳ (Գյուղատնտեսական տարածքների տնտեսական զարգացում ԳՏՏԶ) IFAD</t>
  </si>
  <si>
    <t>01.06.2015թ. 01.06.2044թ.</t>
  </si>
  <si>
    <t>ԳՖԿ ԾԻԳ (Գյուղական ձեռնարկությունների և փոքրածավալ առևտրային գյուղատնտեսության զարգացման ծրագիր ԳՁՓԱԳԶԾ) IDA</t>
  </si>
  <si>
    <t>15.12.2015թ. 15.06.2045թ.</t>
  </si>
  <si>
    <t xml:space="preserve">Շուկայական հնարավորություններ ֆերմերներին ծրագիր (ՇՀՖ) </t>
  </si>
  <si>
    <t>04.02.2018թ. 04.08.2057թ.</t>
  </si>
  <si>
    <t>«Դարդան» ՍՊԸ</t>
  </si>
  <si>
    <t>Համաշխարհային բանկի հաշվին ապրանքային վարկ</t>
  </si>
  <si>
    <t>31.07.2021թ.</t>
  </si>
  <si>
    <t>1. ՀՀ  Արմավիրի մարզ,  գ.Նորակերտ, Նորակերտի խճուղի 10 (վարչական շենք և այլ շինություններ), քաղ. Երևան, Աճառյան փողոց  42բ (կաթսայատան վերնահարկ, պահեստ և այլ շինություններ), շինարարական և այլ տրանսպորտային միջոցներ</t>
  </si>
  <si>
    <t>«Համո Բեկնազարյանի անվան «Հայֆիլմ» կինոստուդիա» ՓԲԸ</t>
  </si>
  <si>
    <t xml:space="preserve">Պահանջի իրավունքի զիջման համաձայնագիր
</t>
  </si>
  <si>
    <t>24.12.2025թ.</t>
  </si>
  <si>
    <t>«Դի Էնդ Էյջ Գրուպ»  ՍՊԸ</t>
  </si>
  <si>
    <t>Տնտեսության վարկավորման ծրագիր</t>
  </si>
  <si>
    <t>կայունացման դեպոզիտ հաշիվ (եվրոբոնդ)</t>
  </si>
  <si>
    <t>10.12.2024թ.-10.12.2026թ.</t>
  </si>
  <si>
    <t>2% մինչև 31/12/2023, 01/01/2024-ից- 8%</t>
  </si>
  <si>
    <t xml:space="preserve"> ՀՀ ք. Երևան, Փ. Բյուզանդի 15 հասցեում գտնվող հյուրանոցային համալիրը</t>
  </si>
  <si>
    <t>28.06.2027թ.</t>
  </si>
  <si>
    <t>2% մինչև 31/12/2023, 01/01/2024-ից - 10.4%</t>
  </si>
  <si>
    <t>Կանոնադրական կապիտալում սեփ. իրավունքով պատկանող բաժնեմասերը, ՀՀ ք. Երևան, Փ. Բյուզանդի 15 հասցեում գտնվող հյուրանոցային համալիրը</t>
  </si>
  <si>
    <t>Ընդամենը տնտեսության վարկավորման համար տարբեր կազմակերպություններին և ընկերություններին տրամադրված վարկեր</t>
  </si>
  <si>
    <t>04.06.2022թ.</t>
  </si>
  <si>
    <t>սկսած 2022թ-ից 12%</t>
  </si>
  <si>
    <t>31.03.2025թ.</t>
  </si>
  <si>
    <t xml:space="preserve">Ընդամենը Կորոնավիրուսի (COVID-19) տնտեսական հետևանքների չեզոքացման հետ կապված </t>
  </si>
  <si>
    <t xml:space="preserve">«ԱԱԲ Պրոեկտ» ՍՊԸ </t>
  </si>
  <si>
    <t xml:space="preserve">«Կորսան Կորվիամ Կոնստրուկսինո» ԲԸ-ի կողմից չվճարված դրամական պահանջներ ունեցող ՀՀ կազմակերպություններին տրամադրվող բյուջետային վարկեր
</t>
  </si>
  <si>
    <t>15.06.2022-15.06.2025թթ.</t>
  </si>
  <si>
    <t>ՀՀ, Կոտայքի մարզ, Արամուսի բազալտի հանքավայրի արդյունահանման Արմենիուս տեղամասը հասցեում գտնվող հողամասի նկատմամբ ընդերքօգտագործման իրավունքը</t>
  </si>
  <si>
    <t>«Շին Թրեյդ» ՍՊԸ</t>
  </si>
  <si>
    <t>10.06.2022-10.06.2025թթ.</t>
  </si>
  <si>
    <t>ք. Երևան, Դավթաշեն 10-րդ փողոց 2/7 բնակելի տուն հասցեում գտնվող 517,54  քմ և 0.096578 հա մակերեսով հողամասը</t>
  </si>
  <si>
    <t>«ՄԼ Մայնինգ» ՍՊԸ</t>
  </si>
  <si>
    <t xml:space="preserve">   Մայր գումար՝                   15.06.2022 -15.06.2025                              Տոկոսագումար՝                 15.09.2020 -15.06.2025 </t>
  </si>
  <si>
    <t>IVECO TRAKKER 450 մակնիշի բեռնատար ինքնաթափ (2 հատ), MAN TGA-41 մակնիշի բեռնատար ինքնաթափ  (3 հատ)</t>
  </si>
  <si>
    <t>«Ժակշին» ՍՊԸ</t>
  </si>
  <si>
    <t xml:space="preserve">   Մայր գումար՝                   25.06.2022 -25.06.2025                              Տոկոսագումար՝                 25.09.2020 -25.06.2025</t>
  </si>
  <si>
    <t>Շինտեխնիկա` KAMAZ.
SINOTRUK 2011- 2 հատ</t>
  </si>
  <si>
    <t>«Բիզնես Ալտերնատիվ» ՍՊԸ</t>
  </si>
  <si>
    <t xml:space="preserve">   Մայր գումար՝                   10.06.2022 -10.06.2025                              Տոկոսագումար՝                 10.09.2020 -10.06.2025  </t>
  </si>
  <si>
    <t>Շինտեխնիկա՝ YARI ROMORK T-MAX</t>
  </si>
  <si>
    <t>«Քեյ դի Էյջ» ՍՊԸ</t>
  </si>
  <si>
    <t>Ավտոմեքենա՝ MERCEDES-BENZ E35O</t>
  </si>
  <si>
    <t>«Ռաֆայել» ՍՊԸ</t>
  </si>
  <si>
    <t xml:space="preserve">   Մայր գումար՝                   10.07.2022 -10.07.2025                              Տոկոսագումար՝                 10.10.2020 -10.07.2025</t>
  </si>
  <si>
    <t>Վիբրացիոն գլդոն և հողամաս</t>
  </si>
  <si>
    <t>«Միրադա» ՍՊԸ</t>
  </si>
  <si>
    <t xml:space="preserve">   Մայր գումար՝                   25.06.2022 -25.06.2025                              Տոկոսագումար՝                 25.09.2020 -25.06.2025    </t>
  </si>
  <si>
    <t xml:space="preserve">ք. Երևան,  Քրիստափորի փողոց 1/3 տարածք հասարակական նշանակության շինություն </t>
  </si>
  <si>
    <t>Մայր գումար՝                   15.07.2022 -15.07.2025                              Տոկոսագումար՝                 15.10.2020 -15.07.2025</t>
  </si>
  <si>
    <t>«Ավետիք Սարգսյան» ԱՁ</t>
  </si>
  <si>
    <t>Կռազ-ցիստեռն</t>
  </si>
  <si>
    <t>«Նաիրիի ՃՇՇ» ԲԲԸ</t>
  </si>
  <si>
    <t xml:space="preserve">  Մայր գումար՝                   25.06.2022 -25.06.2025                              Տոկոսագումար՝                 25.09.2020 -25.06.2025 </t>
  </si>
  <si>
    <t>Շինտեխնիկա՝ZIL MMZ-45021 2 հատ
ԳՐԵՅԴԵՐ 2 հատ</t>
  </si>
  <si>
    <t>«Կամուրջշին» ՓԲԸ</t>
  </si>
  <si>
    <t xml:space="preserve"> Մայր գումար՝                   15.07.2022 -15.07.2025                              Տոկոսագումար՝                 15.10.2020 -15.07.2025</t>
  </si>
  <si>
    <t>Սարքավորումներ և շինտեխնիկա, մեքենաներ</t>
  </si>
  <si>
    <t>«Կամա» ՍՊԸ</t>
  </si>
  <si>
    <t xml:space="preserve">   Մայր գումար՝                   10.07.2022 -10.07.2025                              Տոկոսագումար՝                 10.10.2020 -10.07.2025 </t>
  </si>
  <si>
    <t>2 հատ SHACMAN տեսակի շինտեխնիկա</t>
  </si>
  <si>
    <t>«Ինքնաթափ» ՍՊԸ</t>
  </si>
  <si>
    <t xml:space="preserve">   Մայր գումար՝                   30.07.2022 -30.07.2025                              Տոկոսագումար՝                 30.10.2020 -30.07.2026</t>
  </si>
  <si>
    <t>CAT մակնիշի ինքնաթափ, hողամաս, TOYOTA</t>
  </si>
  <si>
    <t>«Արարատ Թորոսյան» ԱՁ</t>
  </si>
  <si>
    <t>2 հողամաս</t>
  </si>
  <si>
    <t>«Էս ընդ Եյ Մայնինգ» ՍՊԸ</t>
  </si>
  <si>
    <t xml:space="preserve">   Մայր գումար՝                   25.08.2022 -25.08.2025                              Տոկոսագումար՝                 25.11.2020 -25.09.2025</t>
  </si>
  <si>
    <t xml:space="preserve"> Շին.տեխնիկա` 11 հատ</t>
  </si>
  <si>
    <t>«Ապառաժ» ՍՊԸ</t>
  </si>
  <si>
    <t>Շինտեխնիկա և ավտոմեքենա՝ 2 հատ</t>
  </si>
  <si>
    <t>«Տնա-Շին Աշոտ» ՍՊԸ</t>
  </si>
  <si>
    <t xml:space="preserve"> Մայր գումար՝                   25.09.2022 -25.09.2025                              Տոկոսագումար՝                 25.12.2020 -25.09.2025</t>
  </si>
  <si>
    <t>5 հատ SCANIA &lt;Քաջ Տրանս&gt; ՍՊԸ-ի</t>
  </si>
  <si>
    <t>«Դենտալ Իմպորտ» ՍՊԸ</t>
  </si>
  <si>
    <t>Մայր գումար՝                   20.11.2022 -20.11.2025                              Տոկոսագումար՝                 20.02.2021 -20.11.2025</t>
  </si>
  <si>
    <t>թվով 21 շինարարական տեխնիկա</t>
  </si>
  <si>
    <t>«Սուարդի» ԲԸ Հ/Մ</t>
  </si>
  <si>
    <t>Մայր գումար՝                   05.11.2022 -05.11.2025                              Տոկոսագումար՝                 05.02.2021 -05.11.2025</t>
  </si>
  <si>
    <t>&lt;&lt;Աննա Ավետիսյան&gt;&gt;ԱՁ</t>
  </si>
  <si>
    <t>2 հատ վերամբարձ մեքենա և ասֆալտ փռող մեքենա</t>
  </si>
  <si>
    <t>«Քաջ-Տրանս» ՍՊԸ</t>
  </si>
  <si>
    <t xml:space="preserve">Մայր գումար՝                   15.12.2022 -15.12.2025                              Տոկոսագումար՝                 15.03.2021 -15.12.2025 </t>
  </si>
  <si>
    <t>1 հատ SCANIA</t>
  </si>
  <si>
    <t>Ընդամենը տրամադրված վարկերի և ենթավարկերի կառուցվածքը ըստ իրենց արժույթների</t>
  </si>
  <si>
    <t>Արցախի Հանրապետության կառավարություն</t>
  </si>
  <si>
    <t>Միջպետական վարկ</t>
  </si>
  <si>
    <t>2025թ.</t>
  </si>
  <si>
    <t>Կոտայքի և Գեղարքունիքի մարզերի կոշտ թափոնների կառավարման ծրագիր</t>
  </si>
  <si>
    <t>25.06.2023թ. -25.06.2033թ.</t>
  </si>
  <si>
    <t>16.10.2021թ. -16.10.2033թ.</t>
  </si>
  <si>
    <t>15.11.2012թ. Անշարժ Գույքի Գրավի Պայամանգրի համաձայն` («Պետական գույքի գույքագրման և գնահատման գործակալություն» ՊՈԱԿ-ի կողմից 07.06.2012թ. կազմված գնահատման հաշվետվության համաձայն գրավի առարկայի շուկայական արժեքը 2012թ. գնահատման ժամանակահատվածի դրությամբ կազմել է 280,511,000 ՀՀ դրամ, կադաստրային արժեքը` համաձայն ՀՀ կառավարությանն առընթեր անշարժ գույքի կադաստրի պետական կոմիտեի 14.11.2012թ. N ԱՏ-12/11/2012-1-0280 տեղեկանքի կազմում է հա 14,646,180 ՀՀ դրամ) Աջափնյակ Հալաբյան փողոց թիվ 38/7 հասցեում գտնվող հողատարածքը (1.34999 հա -0.9225=0.42749 հա), ապագայում կառուցվելիք անշարժ գույքը  և «ԱյԲիԷյ մոլեկուլյար» կազմակերպությունից ձեռք բերվելիք «Ցիկլոն 18/18» ցիկլոտրոնը,ինչպես նաև ապագայում ձեռք բերվելիք սարքավորումները` դրանց արժեքը կանոնադրական կապիտալ ներդրումից հետո: Հայաստանի Հանրապետության առողջապահության նախարարին` Հայաստանի Հանրապետության օրենսդրությամբ սահմանված կարգով ապահովել ընկերության կանոնադրական կապիտալի ավելացումը՝ սարքավորումների ձեռքբերման և մոնտաժման աշխա¬¬տանքների արժեքի չափով, լրացուցիչ բաժնետոմսեր տեղաբաշխելու միջոցով</t>
  </si>
  <si>
    <t xml:space="preserve">ՀՀ կառավարության 14.10.2021թ.  N 1688-Ն որոշում </t>
  </si>
  <si>
    <t>25.12.2023թ. -25.06.2033թ.</t>
  </si>
  <si>
    <t xml:space="preserve">Տեղեկանք </t>
  </si>
  <si>
    <t>Պրինցիպալը</t>
  </si>
  <si>
    <t>Բենեֆիցարը</t>
  </si>
  <si>
    <t>Երաշխիքի մարման ամսաթիվը</t>
  </si>
  <si>
    <t>Երաշխիքի գումարը /դրամ/</t>
  </si>
  <si>
    <t>«ԱՐՄՍՎԻՍԲԱՆԿ» ՓԲԸ</t>
  </si>
  <si>
    <t>«ՀԱՅԷԿՈՆՈՄԲԱՆԿ» ԲԲԸ</t>
  </si>
  <si>
    <t>15.10.2023թ.</t>
  </si>
  <si>
    <t>Ընդամենը</t>
  </si>
  <si>
    <t>22.10.2023թ.</t>
  </si>
  <si>
    <t>01.11.2023թ.</t>
  </si>
  <si>
    <t>Գերմանիա (KfW)</t>
  </si>
  <si>
    <t xml:space="preserve">ՀՀ կառավարության 25.03.2021թ.  N 415-Ն որոշում </t>
  </si>
  <si>
    <t>1.404%                   1.056%</t>
  </si>
  <si>
    <t>KFW</t>
  </si>
  <si>
    <t>16.04.2023թ.  16.10.2030թ.</t>
  </si>
  <si>
    <t>«ՇԱՏՈ-ԱՌՆՈ» ՍՊԸ</t>
  </si>
  <si>
    <t>«ՀԱՅԱՍՏԱՆԻ ԶԱՐԳԱՑՄԱՆ և ՆԵՐԴՐՈՒՄՆԵՐԻ» ԿՈՐՊՈՐԱՑԻԱ ՈՒՎԿ ՓԲԸ</t>
  </si>
  <si>
    <t>09.11.2023թ.</t>
  </si>
  <si>
    <t>15.11.2023թ.</t>
  </si>
  <si>
    <t>29.11.2023թ.</t>
  </si>
  <si>
    <t>13.12.2023թ.</t>
  </si>
  <si>
    <t>Երաշխիքի գծով պարտավորության մնացորդ /դրամ/</t>
  </si>
  <si>
    <t>&lt;&lt; Երևանի  ավտոբուս&gt;&gt; ՓԲԸ</t>
  </si>
  <si>
    <t>Երևանի քաղաքային ավտոբուսներ ծրագիր</t>
  </si>
  <si>
    <t>ՎԶԵԲ</t>
  </si>
  <si>
    <t>16.04.2025թ.-16.10.2036թ.</t>
  </si>
  <si>
    <t>SOFR</t>
  </si>
  <si>
    <t>Գրավի առարկան հանդիսանալու է ձեռք վբերված հիմանկան միջոցները</t>
  </si>
  <si>
    <t>Ենթավարկի, բյուջետային վարկի, պայմանագրով հանձնված պարտավորության մարման ժամկետը</t>
  </si>
  <si>
    <t>01.07.2023-20.05.2033թ.թ.</t>
  </si>
  <si>
    <t>10.06.2023-08.11.2031թ.թ.</t>
  </si>
  <si>
    <t>10.06.2023-19.03.2033թ.թ.</t>
  </si>
  <si>
    <t>10.06.2023-03.09.2029թ.թ.</t>
  </si>
  <si>
    <t>Գյուղատնտեսության Զարգացման Միջազգային Հիմնադրամ</t>
  </si>
  <si>
    <t>Ենթակառուցվածքների և գյուղական ֆինանսավորման աջակցություն</t>
  </si>
  <si>
    <t>30.06.2025թ. 31.12.2044թ.</t>
  </si>
  <si>
    <t>Ենթավարկային պայմանագրի կնքման ամսաթիվը և համարը</t>
  </si>
  <si>
    <t>07.10.2009թ.</t>
  </si>
  <si>
    <t>25.06.1999թ.</t>
  </si>
  <si>
    <t>13.03.2015թ.</t>
  </si>
  <si>
    <t>12.03.2016թ.</t>
  </si>
  <si>
    <t>27.05.2016թ.</t>
  </si>
  <si>
    <t>18.11.2011թ.</t>
  </si>
  <si>
    <t>02.02.2015թ.</t>
  </si>
  <si>
    <t>11.08.2015թ.</t>
  </si>
  <si>
    <t>14.08.2015թ.</t>
  </si>
  <si>
    <t>06.02.2015թ.</t>
  </si>
  <si>
    <t>30.11.1999թ.</t>
  </si>
  <si>
    <t>12.05.2005թ.</t>
  </si>
  <si>
    <t>04.05.2007թ.</t>
  </si>
  <si>
    <t>12.07.2004թ.</t>
  </si>
  <si>
    <t>30.07.2012թ.</t>
  </si>
  <si>
    <t>21.06.2010թ.</t>
  </si>
  <si>
    <t>20.12.16թ. Ենթավարկային պայմանագիր</t>
  </si>
  <si>
    <t>11.07.2005թ.</t>
  </si>
  <si>
    <t xml:space="preserve">16.02.2004թ.  N4(48)/CP-2004 </t>
  </si>
  <si>
    <t xml:space="preserve"> 24.02.2004թ. N 1(01)CP-2004 վարկային պայմանագիր</t>
  </si>
  <si>
    <t>10.07.2020թ. N 8/20 վարկային պայմանագիր</t>
  </si>
  <si>
    <t>20.10.2021թ. N 10/21 վարկային պայմանագիր</t>
  </si>
  <si>
    <t>22.06.2015թ.  N 6/2015</t>
  </si>
  <si>
    <t>22.06.2016թ.</t>
  </si>
  <si>
    <t>14.06.2016թ.</t>
  </si>
  <si>
    <t>13.07.2010թ.</t>
  </si>
  <si>
    <t>30.05.2013թ.</t>
  </si>
  <si>
    <t>03.05.2011թ.</t>
  </si>
  <si>
    <t>09.02.2015թ.</t>
  </si>
  <si>
    <t xml:space="preserve">08.07.2009թ. Ֆինանսական գործակալության պայմանգիր և 21.02.11թ. Համաձայնագիր </t>
  </si>
  <si>
    <t>12.12.2012թ. Ֆինանսական գործակալության պայմանգիր KFW- AGRO</t>
  </si>
  <si>
    <t>28.07.2005թ. Ենթավարկային պայմանագիր</t>
  </si>
  <si>
    <t>13.01.1998թ. Սուբսիդավորմամբ ֆինանսավորման պայմանագիր</t>
  </si>
  <si>
    <t>11.01.2002թ.ՀԳՓԲ սուբսիդավորման համաձայնագիր</t>
  </si>
  <si>
    <t>28.07.2009թ.</t>
  </si>
  <si>
    <t>02.09.2015թ.</t>
  </si>
  <si>
    <t>05.05.2006         թիվ 1/2006</t>
  </si>
  <si>
    <t>22.12.2017թ.</t>
  </si>
  <si>
    <t>29.12.2017թ.</t>
  </si>
  <si>
    <t>15.02.2018թ.</t>
  </si>
  <si>
    <t xml:space="preserve">15.11.2012թ. </t>
  </si>
  <si>
    <t xml:space="preserve">03.02.2016թ. կնքված </t>
  </si>
  <si>
    <t>09.07.2011թ.  N 1/2011</t>
  </si>
  <si>
    <t>08.11.2012թ.  N 6/2012</t>
  </si>
  <si>
    <t>19.03.2014թ.  N 3/2014</t>
  </si>
  <si>
    <t>03.09.2015թ.   N 3/2015</t>
  </si>
  <si>
    <t>28.12.2015թ. N 11/2015</t>
  </si>
  <si>
    <t>05.02.2016թ.  N 2/2016</t>
  </si>
  <si>
    <t>ՀՀ և Զարգացման միջազգային ընկերակցության միջև 28.01.2005թ. կնքված N 653-AM փոխառության համաձայնագիր</t>
  </si>
  <si>
    <t>ՀՀ և Զարգացման միջազգային ընկերակցության միջև 20.07.2005թ. կնքված N 4095-AM փոխառության համաձայնագիր</t>
  </si>
  <si>
    <t>Հայաստանի Հանրապետության (ԳՖԿ ԾԻԳ ՊՀ) կողմից օգտագործված փոխառությունների համաձայնագիր</t>
  </si>
  <si>
    <t xml:space="preserve"> ԳԶՄՀ միջև  12.11.2014թ-ին կնքված &lt;&lt;Ենթակառուցվածքների և գյուղական ֆինանսավորման աջակցություն&gt;&gt;  համաձայնագիր</t>
  </si>
  <si>
    <t>07.04.2010թ. N 01 կնքված պահանջի իրավունքի զիջման մասին պայմանագիր, 27.12.2017թ. կնքված պայմանագրի փոփոխություն` Համաձայնագիր N 1, 17.04.2019թ. կնքված պայմանագրի փոփոխություն` Համաձայնագիր N 2, 09.04.2021թ. Կնքված հաշտության համաձայնագիր</t>
  </si>
  <si>
    <t>ՀՀ և Վերակառուցման և Զարգացման Եվրոպական Բանկի միջև 24.11.2021թ. կնքված Համաձայնագիր, 04.07.2022թ. Կնքված իրականացման համաձայնագիր</t>
  </si>
  <si>
    <t xml:space="preserve">29.12.2015թ. </t>
  </si>
  <si>
    <t>06.10.11թ. Պարտքի մարման համաձայնագիր</t>
  </si>
  <si>
    <t>29.09.2015թ N6/2015</t>
  </si>
  <si>
    <t>Պահանջի իրավունքի զիջման պայմանագիր 27.12.2016թ.</t>
  </si>
  <si>
    <t>31.03.2020թ
16/310320-1 ֆինանսական գործակալության պայմանագիր, 02.06.2020թ. Փոփոխություններ և լրացումներ կատարելու մասին համաձայնագիր</t>
  </si>
  <si>
    <t xml:space="preserve">25.12.2020թ. Փոխառության պայմանագիր Н420-20 ( ՀՀ կառավարության 27.05.202թ.   854-Լ որոշում, ՀՀ կառավարության 02․07․2020թ․ 1094-Ն որոշում, ՀՀ կառավարության 27.07.2020թ. 1233-Ն որոշում)            </t>
  </si>
  <si>
    <t xml:space="preserve">ՀՀ կառավարության 09.04.2020թ. թիվ 727-Ն որոշում                 </t>
  </si>
  <si>
    <t xml:space="preserve">ՀՀ կառավարության 09.04.2020թ. թիվ 727-Ն որոշում                        </t>
  </si>
  <si>
    <t xml:space="preserve">ՀՀ կառավարության 09.04.2020թ. թիվ 727-Ն որոշում                         </t>
  </si>
  <si>
    <t>ՀՀ կառավարության 09.04.2020թ. թիվ 727-Ն որոշում</t>
  </si>
  <si>
    <t>1993-2020թթ</t>
  </si>
  <si>
    <t>«ԻՆԵԿՈԲԱՆԿ» ՓԲԸ</t>
  </si>
  <si>
    <t>«ԻՋԵՎԱՆԻ ԳԻՆՈՒ, ԿՈՆՅԱԿԻ ԳՈՐԾԱՐԱՆ» ՓԲԸ</t>
  </si>
  <si>
    <t>12.12.2024թ.</t>
  </si>
  <si>
    <t xml:space="preserve">«ԵՐԵՎԱՆԻ ՇՈԿՈԼԱԴԻ ԳՈՐԾԱՐԱՆ» ՓԲԸ 
</t>
  </si>
  <si>
    <t>«ԱԿԲԱ ԲԱՆԿ» ԲԲԸ</t>
  </si>
  <si>
    <t>13.01.2024թ.</t>
  </si>
  <si>
    <t>24.01.2026թ.</t>
  </si>
  <si>
    <t>Sofr+ փոփոխական մարժա</t>
  </si>
  <si>
    <t>Sofr + փոփոխական մարժա և 0.25% պարտավճար</t>
  </si>
  <si>
    <t>30.12.2023թ.</t>
  </si>
  <si>
    <t xml:space="preserve">      ՀՀ կառավարության 26․03․2020թ․ 356-Լ որոշում, ՀՀ կառավարության 25․03․2020թ․ 417-Լ որոշում,          Գործակալական պայմանագիր 16.1/050421-1      </t>
  </si>
  <si>
    <t>«ՊՌՈՇՅԱՆԻ ԿՈՆՅԱԿԻ ԳՈՐԾԱՐԱՆ» ՍՊԸ</t>
  </si>
  <si>
    <t>«ԵՐԱՍԽԻ ԳԻՆՈՒ ԳՈՐԾԱՐԱՆ» ՍՊԸ</t>
  </si>
  <si>
    <t>«ՄԱՊ» ՓԲԸ</t>
  </si>
  <si>
    <t>«ԱՐԱՐԱՏԻ ԳԻՆՈՒ ԳՈՐԾԱՐԱՆ» ՍՊԸ</t>
  </si>
  <si>
    <t>«ԷՎՈԿԱԲԱՆԿ» ՓԲԸ</t>
  </si>
  <si>
    <t>«ԱՐԴՇԻՆԲԱՆԿ» ԲԲԸ</t>
  </si>
  <si>
    <t>28.02.2026թ.</t>
  </si>
  <si>
    <t>02.03.2026թ.</t>
  </si>
  <si>
    <t>ՀՀ կառավարության գործող երաշխիքները</t>
  </si>
  <si>
    <t>The existing guarantees of the Government of RA</t>
  </si>
  <si>
    <t>Действующие гарантии Правительства РА</t>
  </si>
  <si>
    <t>ՆԵՐՔԻՆ ԵՐԱՇԽԻՔՆԵՐ</t>
  </si>
  <si>
    <t>DOMESTIC GUARANTEES</t>
  </si>
  <si>
    <t>ВНУТРЕННИЕ ГАРАНТИИ</t>
  </si>
  <si>
    <t>այդ թվում՝</t>
  </si>
  <si>
    <t xml:space="preserve">  of which</t>
  </si>
  <si>
    <t xml:space="preserve">       в том числе</t>
  </si>
  <si>
    <t>«ԱՐՏԱՇԱՏ-ՎԻՆԿՈՆ» ՓԲԸ</t>
  </si>
  <si>
    <t>"ARTASHAT-VINCON" CJSC</t>
  </si>
  <si>
    <t>"ArmSwissBank" CJSC</t>
  </si>
  <si>
    <t>«АРТАШАТ-ВИНКОН» ЗАО</t>
  </si>
  <si>
    <t>«Армсвиссбанк» ЗАО</t>
  </si>
  <si>
    <t>"YERASKH WINE FACTORY" LLC</t>
  </si>
  <si>
    <t>«ЕРАСХСКИЙ ВИННЫЙ ЗАВОД» ООО</t>
  </si>
  <si>
    <t>«ԳԵՏԱՓԻ ԳԻՆՈՒ ԿՈՆՅԱԿԻ ԳՈՐԾԱՐԱՆ» ՍՊԸ</t>
  </si>
  <si>
    <t>"GETAP WINE AND BRANDY FACTORY" LLC</t>
  </si>
  <si>
    <t>«ГЕТАПСКИЙ ВИННОКОНЬЯЧНЫЙ ЗАВОД» ООО</t>
  </si>
  <si>
    <t>"VEDI ALCO" CJSC</t>
  </si>
  <si>
    <t>«ВЕДИ АЛКО» ЗАО</t>
  </si>
  <si>
    <t>"SHATO ARNO" LLC</t>
  </si>
  <si>
    <t>"Development And Investments Corporation of Armenia" CJSC</t>
  </si>
  <si>
    <t>«ШАТО АРНО» ООО</t>
  </si>
  <si>
    <t>«Корпорация развития и инвестиций Армении» ЗАО</t>
  </si>
  <si>
    <t>«ԱՍՏԱՖՅԱՆ ՀՈԼԴԻՆԳ» ՍՊԸ</t>
  </si>
  <si>
    <t>"ASTAFYAN HOLDING" LLC</t>
  </si>
  <si>
    <t>«АСТАФЯН ХОЛДИНГ» ООО</t>
  </si>
  <si>
    <t>"PROSHYAN BRANDY FACTORY" LLC</t>
  </si>
  <si>
    <t>"Armeconombank" OJSC</t>
  </si>
  <si>
    <t>«ПРОШЯНСКИЙ КОНЬЯЧНЫЙ ЗАВОД» ООО</t>
  </si>
  <si>
    <t>«Армэкономбанк» ОАО</t>
  </si>
  <si>
    <t>"IJEYAN WINE AND BRANDY FACTORY" CJSC</t>
  </si>
  <si>
    <t>"Inecobank" CJSC</t>
  </si>
  <si>
    <t>«ИДЖЕВАНСКИЙ ВИННОКОНЬЯЧНЫЙ ЗАВОД» ЗАО</t>
  </si>
  <si>
    <t>«Инекобанк» ЗАО</t>
  </si>
  <si>
    <t>"YEREVAN CHOCOLATE COMPANY" CJSC</t>
  </si>
  <si>
    <t>Ереванская шоколадная компания</t>
  </si>
  <si>
    <t>"ARARAT WINE FACTORY CO.LTD</t>
  </si>
  <si>
    <t>"ACBA BANK" OJSC</t>
  </si>
  <si>
    <t>«Араратский  винный  завод» ООО</t>
  </si>
  <si>
    <t>"Акба банк" ОАО</t>
  </si>
  <si>
    <t>"MAP" COMPANY</t>
  </si>
  <si>
    <t>"Evocabank" CJSC</t>
  </si>
  <si>
    <t>«МАП»  ЗАО</t>
  </si>
  <si>
    <t>«Эвокабанк» ЗАО</t>
  </si>
  <si>
    <t>"Ardshinbank" CJSC</t>
  </si>
  <si>
    <t>«Ардшинбанк» ЗАО</t>
  </si>
  <si>
    <t>ՀՀ կառավարության կողմից երաշխիքների սպասարկման գծով կատարված վճարումներ՝ պայմանավորված պրինցիպալի կողմից իր վճարային պարտավորությունների չկատարմամբ</t>
  </si>
  <si>
    <t>Payments made by the Government of the Republic of Armenia on guarantees' servicing, due to default on payment obligations by the principal</t>
  </si>
  <si>
    <t>Платежи, осуществленные Правительством Республики Армения по обслуживанию предоставленных гарантий, обусловленные невыполнением своих платежных обязательств принципалом</t>
  </si>
  <si>
    <t>20.03.2026թ.</t>
  </si>
  <si>
    <t>23.03.2026թ.</t>
  </si>
  <si>
    <t>«ՎԵԴԻ-ԱԼԿՈ» ՓԲԸ</t>
  </si>
  <si>
    <t>26.03.2026թ.</t>
  </si>
  <si>
    <t>«ԵՐԱՍԽԻ ԳԻՆՈՒ ԳՈՐԾԱՐԱՆ»  ՍՊԸ</t>
  </si>
  <si>
    <t xml:space="preserve">Երաշխիքի գումարը /դրամ/ Guarantee amount /AMD/             Сумма гарантии /драм РА/ </t>
  </si>
  <si>
    <t>Երաշխիքի գծով պարտավորության մնացորդ /ՀՀ դրամ/                                Balance of guarantee obligation /AMD/  Остаток гарантийных обязательств /драм РА/</t>
  </si>
  <si>
    <t>Վարկի գումարի չափը</t>
  </si>
  <si>
    <t>Մասհանված գումարի չափը</t>
  </si>
  <si>
    <t>Արտաքին վարկի տրամադրման տարեկան տոկոսադրույքը</t>
  </si>
  <si>
    <t>Արտաքին վարկից մարված գումար</t>
  </si>
  <si>
    <t>Արտաքին վարկի հիմնական գումարի մնացորդ</t>
  </si>
  <si>
    <t>6-ամսյա Libor+ փոփոխական մարժա</t>
  </si>
  <si>
    <t>SDR</t>
  </si>
  <si>
    <t xml:space="preserve"> SDR</t>
  </si>
  <si>
    <t>1.8% / 0.75%</t>
  </si>
  <si>
    <t xml:space="preserve">Գերմանական մարկ </t>
  </si>
  <si>
    <t>6-ամսյա Եվրոibor+0.75</t>
  </si>
  <si>
    <t>6-ամսյա Եվրոibor+0.693 կամ ֆիքսված</t>
  </si>
  <si>
    <t>«Կորսան Կորվիամ Կոնստրուկսինո» ԲԸ-ի  հետ կապված և այլ վարկեր</t>
  </si>
  <si>
    <t>11 հատ տրանսպորտային միջոց և 19 հատ շին.տեխնիկա</t>
  </si>
  <si>
    <t xml:space="preserve">ՀՀ պետական բյուջեից, միջազգային կազմակերպությունների և օտարերկրյա պետությունների կողմից ներգրաված վարկային միջոցների հաշվին տրամադրված բյուջետային վարկերի և ենթավարկերի  վերաբերյալ 31.07.2023թ. դրությամբ </t>
  </si>
  <si>
    <t xml:space="preserve">ՀՀ պետական բյուջեից, միջազգային կազմակերպությունների և օտարերկրյա պետությունների կողմից ներգրաված վարկային միջոցների հաշվին տրամադրված բյուջետային վարկերի և ենթավարկերի  վերաբերյալ 31.08.2023թ. դրությամբ </t>
  </si>
  <si>
    <t>Անշարժ և շարժական գույք, բաժնետոմսեր</t>
  </si>
  <si>
    <t xml:space="preserve">ՀՀ պետական բյուջեից, միջազգային կազմակերպությունների և օտարերկրյա պետությունների կողմից ներգրաված վարկային միջոցների հաշվին տրամադրված բյուջետային վարկերի և ենթավարկերի  վերաբերյալ 30.09.2023թ. դրությամբ </t>
  </si>
  <si>
    <t>Lusine</t>
  </si>
  <si>
    <t>ՀՀ կառավարության 15.07.2021թ. թիվ 1168-լ որոշմման հիման վրա գյուղատնտեսական հումքի մթերումների համար վարկերի  ներգրավման նպատակով  տրված բյուջետային երաշխիքների վերաբերյալ՝ 31.10.23թ. դրությամբ</t>
  </si>
  <si>
    <t xml:space="preserve">ՀՀ պետական բյուջեից, միջազգային կազմակերպությունների և օտարերկրյա պետությունների կողմից ներգրաված վարկային միջոցների հաշվին տրամադրված բյուջետային վարկերի և ենթավարկերի  վերաբերյալ 31.10.2023թ. դրությամբ </t>
  </si>
  <si>
    <t>Ենթավարկի, բյուջետային վարկի, պայմանագրով փոխանցված պարտավորության գումարը ԱՄՆ դոլարով</t>
  </si>
  <si>
    <t>Վարկի հիմնական գումարի մնացորդը ԱՄՆ դոլարով</t>
  </si>
  <si>
    <t>Ծանոթագրություն</t>
  </si>
  <si>
    <t>Համաձայն 26.04.2017թ. կնքված համաձայնագրի  մասհանման վերջնաժամկետ է սահմանվել 30.06.2018թ. (30.06.2016 փոխարեն)
Համաձայն 23.11.2018թ. կնքված համաձայնագրի մասհանման վերջնաժամկետ է սահմանվել 31.12.2019թ. (30.06.2018 փոխարեն)
Համաձայն 14.02.2020թ. նքված համաձայնագրի գումարը նվազել է 3,5 մլն դոլարով` կազմելով 35,5 մլն, իսկ մասհանման վերջնաժամկետ է սահմանվել 31.12.2020թ. (31.12.2020 փոխարեն)
30.04.2021թ. դրությամբ առկա 1,434,414.80 ԱՄՆ դոլար ենթավարկի մնացորդը պետք է չեղարկվի (փոփոխոիթյան համաձայնագիրը կնքման փուլում է)</t>
  </si>
  <si>
    <t>Համաձայն 13.07.20թ. կնքված համաձայնագրի գումարը նվազել է 2,5 մլն դոլարով` կազմելով 37,5 մլն
Համաձայն 14.02.2020թ. կնքված համաձայնագրի գումարը նվազել է 1,5 մլն դոլարով` կազմելով 36,0 մլն և մասհանման վերջնաժամկետ է սահմանվել 31.12.2020թ. 
Համաձայն 03.02.2021թ. կնքված համաձայնագրով մասհանման վերջնաժամկետ է սահմանվել 31.12.2023թ.(նախկին 31.12.2020թ փոխարեն)</t>
  </si>
  <si>
    <t>29.06.2018թ. Համաձայնագրով 21.794.486  փոխարինվել է 28.194.486
14.02.2020թ. Համաձայնագրով 28.194.486 դոլար գումարը նվազել է 5 մլն և   փոխարինվել է 23.194.486
03.02.2021թ. Համաձայնագրով մասհանման ժամկետը երկարաձգվել է 31.12.2023 (31.12.2020 փոխարեն)</t>
  </si>
  <si>
    <t>11.06.2018թ. Համաձայնագրով 30.205.514  փոխարինվել է 22.305.514
14.02.2020թ. Համաձայնագրով 22.305.514    փոխարինվել է 16.662.617</t>
  </si>
  <si>
    <t>18.06.2020թ. Համաձայնագրով 15.192.292 SDR փոխարինվել է 13.988.153 SDR, իսկ մասհանման ժամկետը երկարաձգվել է մինչև 30.06.2022թ (30.06.2020 փոխարեն)</t>
  </si>
  <si>
    <t>25.05.2020թ. Համաձայնագրով 8.829.708 SDR փոխարինվել է 10.098.535 SDR, իսկ մասհանման ժամկետը երկարաձգվել է մինչև 30.06.2022թ (30.06.2020 փոխարեն)</t>
  </si>
  <si>
    <t>02.07.2015թ. N 1247-Ն որոշմամբ  մարման ժամկետը 2019թ. երկարաձգվել է մինչև 2026թ.</t>
  </si>
  <si>
    <t>ՀՀ կառ. 03.08.2017թ. N921-Ա որոշման համաձայն Ընկերությանը տրամադրված վարկի մարման ժամկետները հետաձգել են, տոկոսների վճարումից ազատվել է, իսկ հաշվարկված տույժի վճարումը ներվել է</t>
  </si>
  <si>
    <t>ՀՀ կառ. 29.04.2021թ. N664-Ա որոշման համաձայն Ընկերությանը տրամադրված վարկի մարման ժամկետը հետաձգվել է 2020-ից 2023թ.</t>
  </si>
  <si>
    <t>Վարկի մայր գումարի և տոկոսագումարի վճարումները հետաձգվել են:</t>
  </si>
  <si>
    <t>Ժամկետանց</t>
  </si>
  <si>
    <t>ՀՀ կառավարության 07.12.2017թ. N 1585-Ն որոշման համաձայն 163,143,274 դրամ գումարի չափով մայր գումարի նվազեցում</t>
  </si>
  <si>
    <t>Վարկի մայր գումարի և տոկոսագումարի վճարումները հետաձգվել են, տոկոսագումարները կապիտալիզացվել են:</t>
  </si>
  <si>
    <t>«Սահակյանշին» ՓԲԸ</t>
  </si>
  <si>
    <t>Բյուջետային վարկ</t>
  </si>
  <si>
    <t>25.09.2023թ.</t>
  </si>
  <si>
    <t>2026թ.</t>
  </si>
  <si>
    <t>Գրավով՝ քաղ. Երևան, Մալաթիա-Սեբաստիա, Ծիծեռնակաբերդի խճուղի 39/1 հասցեում գտնվող հողամասը</t>
  </si>
  <si>
    <t xml:space="preserve">Համաձայն ՀՀ կառ.24.12.20թ. 2174-Ն որոշման, 25.12.2020թ.-ին կնքվել է համաձայնագիր, որով փոփոխվել են  վարկի մարման ժամկետն ու տոկոսը </t>
  </si>
  <si>
    <t xml:space="preserve">Համաձայն ՀՀ կառ.24.12.20թ. 2176-Ա որոշման, 25.12.2020թ.-ին կնքվել է համաձայնագիր, որով փոփոխվել են վարկի մարման ժամկետն ու տոկոսը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</si>
</sst>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_-* #,##0\ _₽_-;\-* #,##0\ _₽_-;_-* &quot;-&quot;??\ _₽_-;_-@_-"/>
    <numFmt numFmtId="167" formatCode="0.0%"/>
    <numFmt numFmtId="168" formatCode="0.000%"/>
    <numFmt numFmtId="169" formatCode="_(* #,##0.0_);_(* \(#,##0.0\);_(* &quot;-&quot;??_);_(@_)"/>
    <numFmt numFmtId="170" formatCode="0.000"/>
    <numFmt numFmtId="171" formatCode="_(* #,##0.000_);_(* \(#,##0.000\);_(* &quot;-&quot;??_);_(@_)"/>
    <numFmt numFmtId="172" formatCode="_(* #,##0.0_);_(* \(#,##0.0\);_(* &quot;-&quot;?_);_(@_)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4"/>
      <name val="GHEA Grapalat"/>
      <family val="3"/>
    </font>
    <font>
      <b/>
      <sz val="10"/>
      <color theme="1"/>
      <name val="GHEA Grapalat"/>
      <family val="3"/>
    </font>
    <font>
      <sz val="10"/>
      <color rgb="FFFF0000"/>
      <name val="GHEA Grapalat"/>
      <family val="3"/>
    </font>
    <font>
      <b/>
      <sz val="10"/>
      <color rgb="FFFF0000"/>
      <name val="GHEA Grapalat"/>
      <family val="3"/>
    </font>
    <font>
      <sz val="10"/>
      <color rgb="FFFF0000"/>
      <name val="Arial Armenian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4"/>
      <name val="GHEA Grapalat"/>
      <family val="3"/>
    </font>
    <font>
      <b/>
      <i/>
      <sz val="14"/>
      <name val="GHEA Grapalat"/>
      <family val="3"/>
    </font>
    <font>
      <b/>
      <sz val="12"/>
      <name val="GHEA Grapalat"/>
      <family val="3"/>
    </font>
    <font>
      <b/>
      <sz val="13"/>
      <name val="GHEA Grapalat"/>
      <family val="3"/>
    </font>
    <font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25" fillId="0" borderId="0"/>
  </cellStyleXfs>
  <cellXfs count="66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5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/>
    <xf numFmtId="166" fontId="0" fillId="0" borderId="0" xfId="5" applyNumberFormat="1" applyFont="1" applyBorder="1"/>
    <xf numFmtId="0" fontId="0" fillId="0" borderId="0" xfId="0" applyBorder="1"/>
    <xf numFmtId="43" fontId="9" fillId="2" borderId="0" xfId="2" applyFont="1" applyFill="1" applyAlignment="1" applyProtection="1"/>
    <xf numFmtId="0" fontId="9" fillId="2" borderId="0" xfId="1" applyFont="1" applyFill="1" applyAlignment="1" applyProtection="1"/>
    <xf numFmtId="43" fontId="10" fillId="2" borderId="0" xfId="2" applyFont="1" applyFill="1" applyProtection="1"/>
    <xf numFmtId="0" fontId="10" fillId="2" borderId="0" xfId="1" applyFont="1" applyFill="1" applyProtection="1"/>
    <xf numFmtId="43" fontId="2" fillId="2" borderId="0" xfId="2" applyFont="1" applyFill="1" applyProtection="1"/>
    <xf numFmtId="0" fontId="2" fillId="2" borderId="0" xfId="1" applyFont="1" applyFill="1" applyProtection="1"/>
    <xf numFmtId="0" fontId="2" fillId="2" borderId="0" xfId="1" applyFont="1" applyFill="1" applyAlignment="1" applyProtection="1">
      <alignment horizontal="centerContinuous"/>
    </xf>
    <xf numFmtId="43" fontId="2" fillId="2" borderId="0" xfId="2" applyFont="1" applyFill="1" applyBorder="1" applyProtection="1"/>
    <xf numFmtId="0" fontId="2" fillId="2" borderId="0" xfId="1" applyFont="1" applyFill="1" applyBorder="1" applyProtection="1"/>
    <xf numFmtId="165" fontId="9" fillId="2" borderId="14" xfId="4" applyNumberFormat="1" applyFont="1" applyFill="1" applyBorder="1" applyAlignment="1" applyProtection="1">
      <alignment vertical="center"/>
    </xf>
    <xf numFmtId="165" fontId="9" fillId="2" borderId="2" xfId="4" applyNumberFormat="1" applyFont="1" applyFill="1" applyBorder="1" applyAlignment="1" applyProtection="1">
      <alignment vertical="center"/>
    </xf>
    <xf numFmtId="165" fontId="9" fillId="2" borderId="10" xfId="4" applyNumberFormat="1" applyFont="1" applyFill="1" applyBorder="1" applyAlignment="1" applyProtection="1">
      <alignment vertical="center"/>
    </xf>
    <xf numFmtId="165" fontId="9" fillId="2" borderId="17" xfId="4" applyNumberFormat="1" applyFont="1" applyFill="1" applyBorder="1" applyAlignment="1" applyProtection="1">
      <alignment vertical="center"/>
    </xf>
    <xf numFmtId="165" fontId="9" fillId="2" borderId="3" xfId="4" applyNumberFormat="1" applyFont="1" applyFill="1" applyBorder="1" applyAlignment="1" applyProtection="1">
      <alignment vertical="center"/>
    </xf>
    <xf numFmtId="43" fontId="10" fillId="2" borderId="0" xfId="9" applyFont="1" applyFill="1" applyProtection="1"/>
    <xf numFmtId="0" fontId="2" fillId="2" borderId="7" xfId="1" applyFont="1" applyFill="1" applyBorder="1" applyAlignment="1" applyProtection="1">
      <alignment horizontal="center" vertical="center" wrapText="1"/>
    </xf>
    <xf numFmtId="165" fontId="9" fillId="2" borderId="0" xfId="4" applyNumberFormat="1" applyFont="1" applyFill="1" applyBorder="1" applyAlignment="1" applyProtection="1">
      <alignment vertical="center"/>
    </xf>
    <xf numFmtId="43" fontId="2" fillId="2" borderId="0" xfId="1" applyNumberFormat="1" applyFont="1" applyFill="1" applyProtection="1"/>
    <xf numFmtId="165" fontId="2" fillId="2" borderId="0" xfId="4" applyNumberFormat="1" applyFont="1" applyFill="1" applyProtection="1"/>
    <xf numFmtId="0" fontId="2" fillId="2" borderId="0" xfId="1" applyFont="1" applyFill="1" applyAlignment="1" applyProtection="1">
      <alignment horizontal="center"/>
    </xf>
    <xf numFmtId="171" fontId="2" fillId="2" borderId="0" xfId="1" applyNumberFormat="1" applyFont="1" applyFill="1" applyProtection="1"/>
    <xf numFmtId="1" fontId="2" fillId="2" borderId="0" xfId="1" applyNumberFormat="1" applyFont="1" applyFill="1" applyAlignment="1" applyProtection="1">
      <alignment horizontal="center"/>
    </xf>
    <xf numFmtId="0" fontId="2" fillId="2" borderId="0" xfId="1" applyNumberFormat="1" applyFont="1" applyFill="1" applyAlignment="1" applyProtection="1">
      <alignment horizontal="centerContinuous"/>
    </xf>
    <xf numFmtId="10" fontId="2" fillId="2" borderId="0" xfId="6" applyNumberFormat="1" applyFont="1" applyFill="1" applyAlignment="1" applyProtection="1">
      <alignment horizontal="centerContinuous"/>
    </xf>
    <xf numFmtId="0" fontId="9" fillId="2" borderId="19" xfId="1" applyFont="1" applyFill="1" applyBorder="1" applyAlignment="1" applyProtection="1">
      <alignment horizontal="center" vertical="center" wrapText="1"/>
    </xf>
    <xf numFmtId="0" fontId="9" fillId="2" borderId="20" xfId="1" applyFont="1" applyFill="1" applyBorder="1" applyAlignment="1" applyProtection="1">
      <alignment horizontal="center" vertical="center" wrapText="1"/>
    </xf>
    <xf numFmtId="0" fontId="9" fillId="2" borderId="20" xfId="1" quotePrefix="1" applyNumberFormat="1" applyFont="1" applyFill="1" applyBorder="1" applyAlignment="1" applyProtection="1">
      <alignment horizontal="center" vertical="center" wrapText="1"/>
    </xf>
    <xf numFmtId="10" fontId="9" fillId="2" borderId="20" xfId="6" applyNumberFormat="1" applyFont="1" applyFill="1" applyBorder="1" applyAlignment="1" applyProtection="1">
      <alignment horizontal="center" vertical="center" wrapText="1"/>
    </xf>
    <xf numFmtId="0" fontId="9" fillId="2" borderId="18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vertical="center" wrapText="1"/>
    </xf>
    <xf numFmtId="165" fontId="2" fillId="2" borderId="3" xfId="4" applyNumberFormat="1" applyFont="1" applyFill="1" applyBorder="1" applyAlignment="1" applyProtection="1">
      <alignment vertical="center"/>
    </xf>
    <xf numFmtId="10" fontId="2" fillId="2" borderId="3" xfId="1" applyNumberFormat="1" applyFont="1" applyFill="1" applyBorder="1" applyAlignment="1" applyProtection="1">
      <alignment horizontal="center" vertical="center" wrapText="1"/>
    </xf>
    <xf numFmtId="1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</xf>
    <xf numFmtId="2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/>
    </xf>
    <xf numFmtId="165" fontId="2" fillId="2" borderId="3" xfId="4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horizontal="center" vertical="center" wrapText="1"/>
    </xf>
    <xf numFmtId="0" fontId="2" fillId="2" borderId="38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vertical="center" wrapText="1"/>
    </xf>
    <xf numFmtId="165" fontId="2" fillId="2" borderId="2" xfId="4" applyNumberFormat="1" applyFont="1" applyFill="1" applyBorder="1" applyAlignment="1" applyProtection="1">
      <alignment vertical="center"/>
    </xf>
    <xf numFmtId="9" fontId="2" fillId="2" borderId="2" xfId="1" applyNumberFormat="1" applyFont="1" applyFill="1" applyBorder="1" applyAlignment="1" applyProtection="1">
      <alignment horizontal="center" vertical="center" wrapText="1"/>
    </xf>
    <xf numFmtId="1" fontId="2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1" applyNumberFormat="1" applyFont="1" applyFill="1" applyBorder="1" applyAlignment="1" applyProtection="1">
      <alignment horizontal="center" vertical="center" wrapText="1"/>
    </xf>
    <xf numFmtId="2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10" fontId="2" fillId="2" borderId="2" xfId="6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9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vertical="center" wrapText="1"/>
    </xf>
    <xf numFmtId="165" fontId="2" fillId="2" borderId="3" xfId="4" applyNumberFormat="1" applyFont="1" applyFill="1" applyBorder="1" applyAlignment="1" applyProtection="1">
      <alignment vertical="center" wrapText="1"/>
    </xf>
    <xf numFmtId="167" fontId="2" fillId="2" borderId="2" xfId="6" applyNumberFormat="1" applyFont="1" applyFill="1" applyBorder="1" applyAlignment="1" applyProtection="1">
      <alignment horizontal="center" vertical="center" wrapText="1"/>
    </xf>
    <xf numFmtId="43" fontId="2" fillId="2" borderId="2" xfId="4" applyFont="1" applyFill="1" applyBorder="1" applyAlignment="1" applyProtection="1">
      <alignment horizontal="center" vertical="center" wrapText="1"/>
    </xf>
    <xf numFmtId="165" fontId="2" fillId="2" borderId="2" xfId="3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Protection="1"/>
    <xf numFmtId="165" fontId="2" fillId="2" borderId="2" xfId="7" applyNumberFormat="1" applyFont="1" applyFill="1" applyBorder="1" applyAlignment="1" applyProtection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horizontal="center" vertical="center"/>
    </xf>
    <xf numFmtId="0" fontId="2" fillId="2" borderId="2" xfId="4" applyNumberFormat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10" fontId="2" fillId="2" borderId="1" xfId="6" applyNumberFormat="1" applyFont="1" applyFill="1" applyBorder="1" applyAlignment="1" applyProtection="1">
      <alignment horizontal="center" vertical="center" wrapText="1"/>
    </xf>
    <xf numFmtId="0" fontId="2" fillId="2" borderId="1" xfId="4" applyNumberFormat="1" applyFont="1" applyFill="1" applyBorder="1" applyAlignment="1" applyProtection="1">
      <alignment horizontal="center" vertical="center" wrapText="1"/>
    </xf>
    <xf numFmtId="168" fontId="2" fillId="2" borderId="1" xfId="6" applyNumberFormat="1" applyFont="1" applyFill="1" applyBorder="1" applyAlignment="1" applyProtection="1">
      <alignment horizontal="center" vertical="center" wrapText="1"/>
    </xf>
    <xf numFmtId="43" fontId="2" fillId="2" borderId="2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/>
    </xf>
    <xf numFmtId="43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5" xfId="1" applyNumberFormat="1" applyFont="1" applyFill="1" applyBorder="1" applyAlignment="1" applyProtection="1">
      <alignment horizontal="center" vertical="center" wrapText="1"/>
    </xf>
    <xf numFmtId="0" fontId="2" fillId="2" borderId="3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 wrapText="1"/>
    </xf>
    <xf numFmtId="2" fontId="2" fillId="2" borderId="15" xfId="1" applyNumberFormat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/>
    </xf>
    <xf numFmtId="43" fontId="2" fillId="2" borderId="15" xfId="1" applyNumberFormat="1" applyFont="1" applyFill="1" applyBorder="1" applyAlignment="1" applyProtection="1">
      <alignment horizontal="center" vertical="center" wrapText="1"/>
    </xf>
    <xf numFmtId="9" fontId="2" fillId="2" borderId="15" xfId="1" applyNumberFormat="1" applyFont="1" applyFill="1" applyBorder="1" applyAlignment="1" applyProtection="1">
      <alignment horizontal="center" vertical="center" wrapText="1"/>
    </xf>
    <xf numFmtId="165" fontId="2" fillId="2" borderId="15" xfId="4" applyNumberFormat="1" applyFont="1" applyFill="1" applyBorder="1" applyAlignment="1" applyProtection="1">
      <alignment horizontal="center" vertical="center" wrapText="1"/>
    </xf>
    <xf numFmtId="165" fontId="2" fillId="2" borderId="15" xfId="4" applyNumberFormat="1" applyFont="1" applyFill="1" applyBorder="1" applyAlignment="1" applyProtection="1">
      <alignment vertical="center" wrapText="1"/>
    </xf>
    <xf numFmtId="2" fontId="9" fillId="2" borderId="17" xfId="1" applyNumberFormat="1" applyFont="1" applyFill="1" applyBorder="1" applyAlignment="1" applyProtection="1">
      <alignment vertical="center"/>
    </xf>
    <xf numFmtId="165" fontId="9" fillId="2" borderId="33" xfId="4" applyNumberFormat="1" applyFont="1" applyFill="1" applyBorder="1" applyAlignment="1" applyProtection="1">
      <alignment vertical="center"/>
    </xf>
    <xf numFmtId="2" fontId="9" fillId="2" borderId="2" xfId="1" applyNumberFormat="1" applyFont="1" applyFill="1" applyBorder="1" applyAlignment="1" applyProtection="1">
      <alignment vertical="center"/>
    </xf>
    <xf numFmtId="165" fontId="9" fillId="2" borderId="31" xfId="4" applyNumberFormat="1" applyFont="1" applyFill="1" applyBorder="1" applyAlignment="1" applyProtection="1">
      <alignment vertical="center"/>
    </xf>
    <xf numFmtId="2" fontId="9" fillId="2" borderId="1" xfId="1" applyNumberFormat="1" applyFont="1" applyFill="1" applyBorder="1" applyAlignment="1" applyProtection="1">
      <alignment vertical="center"/>
    </xf>
    <xf numFmtId="165" fontId="9" fillId="2" borderId="15" xfId="4" applyNumberFormat="1" applyFont="1" applyFill="1" applyBorder="1" applyAlignment="1" applyProtection="1">
      <alignment vertical="center"/>
    </xf>
    <xf numFmtId="165" fontId="9" fillId="2" borderId="32" xfId="4" applyNumberFormat="1" applyFont="1" applyFill="1" applyBorder="1" applyAlignment="1" applyProtection="1">
      <alignment vertical="center"/>
    </xf>
    <xf numFmtId="2" fontId="9" fillId="2" borderId="10" xfId="1" applyNumberFormat="1" applyFont="1" applyFill="1" applyBorder="1" applyAlignment="1" applyProtection="1">
      <alignment vertical="center"/>
    </xf>
    <xf numFmtId="165" fontId="9" fillId="2" borderId="34" xfId="4" applyNumberFormat="1" applyFont="1" applyFill="1" applyBorder="1" applyAlignment="1" applyProtection="1">
      <alignment vertical="center"/>
    </xf>
    <xf numFmtId="0" fontId="2" fillId="2" borderId="9" xfId="1" applyFont="1" applyFill="1" applyBorder="1" applyAlignment="1" applyProtection="1">
      <alignment horizontal="center" vertical="center" wrapText="1"/>
    </xf>
    <xf numFmtId="10" fontId="2" fillId="2" borderId="3" xfId="6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 wrapText="1"/>
    </xf>
    <xf numFmtId="0" fontId="2" fillId="2" borderId="2" xfId="1" quotePrefix="1" applyNumberFormat="1" applyFont="1" applyFill="1" applyBorder="1" applyAlignment="1" applyProtection="1">
      <alignment horizontal="center" vertical="center" wrapText="1"/>
    </xf>
    <xf numFmtId="1" fontId="2" fillId="2" borderId="31" xfId="1" applyNumberFormat="1" applyFont="1" applyFill="1" applyBorder="1" applyAlignment="1" applyProtection="1">
      <alignment horizontal="center" vertical="center" wrapText="1"/>
    </xf>
    <xf numFmtId="9" fontId="10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2" applyNumberFormat="1" applyFont="1" applyFill="1" applyBorder="1" applyAlignment="1" applyProtection="1">
      <alignment horizontal="left" vertical="center" wrapText="1"/>
    </xf>
    <xf numFmtId="9" fontId="2" fillId="2" borderId="2" xfId="8" applyFont="1" applyFill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167" fontId="2" fillId="2" borderId="2" xfId="8" applyNumberFormat="1" applyFont="1" applyFill="1" applyBorder="1" applyAlignment="1" applyProtection="1">
      <alignment horizontal="center" vertical="center" wrapText="1"/>
    </xf>
    <xf numFmtId="168" fontId="2" fillId="2" borderId="2" xfId="8" applyNumberFormat="1" applyFont="1" applyFill="1" applyBorder="1" applyAlignment="1" applyProtection="1">
      <alignment horizontal="center" vertical="center" wrapText="1"/>
    </xf>
    <xf numFmtId="165" fontId="2" fillId="2" borderId="1" xfId="3" applyNumberFormat="1" applyFont="1" applyFill="1" applyBorder="1" applyAlignment="1" applyProtection="1">
      <alignment horizontal="center" vertical="center" wrapText="1"/>
    </xf>
    <xf numFmtId="10" fontId="2" fillId="2" borderId="1" xfId="8" applyNumberFormat="1" applyFont="1" applyFill="1" applyBorder="1" applyAlignment="1" applyProtection="1">
      <alignment horizontal="center" vertical="center" wrapText="1"/>
    </xf>
    <xf numFmtId="167" fontId="2" fillId="2" borderId="1" xfId="8" applyNumberFormat="1" applyFont="1" applyFill="1" applyBorder="1" applyAlignment="1" applyProtection="1">
      <alignment horizontal="center" vertical="center" wrapText="1"/>
    </xf>
    <xf numFmtId="169" fontId="2" fillId="2" borderId="2" xfId="4" applyNumberFormat="1" applyFont="1" applyFill="1" applyBorder="1" applyAlignment="1" applyProtection="1">
      <alignment horizontal="center" vertical="center" wrapText="1"/>
    </xf>
    <xf numFmtId="9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" xfId="2" applyNumberFormat="1" applyFont="1" applyFill="1" applyBorder="1" applyAlignment="1" applyProtection="1">
      <alignment horizontal="left" vertical="center" wrapText="1"/>
    </xf>
    <xf numFmtId="167" fontId="2" fillId="2" borderId="1" xfId="6" applyNumberFormat="1" applyFont="1" applyFill="1" applyBorder="1" applyAlignment="1" applyProtection="1">
      <alignment horizontal="center" vertical="center" wrapText="1"/>
    </xf>
    <xf numFmtId="0" fontId="2" fillId="2" borderId="17" xfId="1" applyFont="1" applyFill="1" applyBorder="1" applyAlignment="1" applyProtection="1">
      <alignment horizontal="center" vertical="center" wrapText="1"/>
    </xf>
    <xf numFmtId="1" fontId="2" fillId="2" borderId="32" xfId="1" applyNumberFormat="1" applyFont="1" applyFill="1" applyBorder="1" applyAlignment="1" applyProtection="1">
      <alignment horizontal="center" vertical="center" wrapText="1"/>
    </xf>
    <xf numFmtId="167" fontId="2" fillId="2" borderId="15" xfId="6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29" xfId="1" applyFont="1" applyFill="1" applyBorder="1" applyAlignment="1" applyProtection="1">
      <alignment horizontal="center" vertical="center" wrapText="1"/>
    </xf>
    <xf numFmtId="9" fontId="2" fillId="2" borderId="37" xfId="1" applyNumberFormat="1" applyFont="1" applyFill="1" applyBorder="1" applyAlignment="1" applyProtection="1">
      <alignment horizontal="center" vertical="center" wrapText="1"/>
    </xf>
    <xf numFmtId="2" fontId="2" fillId="2" borderId="10" xfId="1" applyNumberFormat="1" applyFont="1" applyFill="1" applyBorder="1" applyAlignment="1" applyProtection="1">
      <alignment horizontal="center" vertical="center" wrapText="1"/>
    </xf>
    <xf numFmtId="0" fontId="2" fillId="2" borderId="23" xfId="1" applyFont="1" applyFill="1" applyBorder="1" applyAlignment="1" applyProtection="1">
      <alignment horizontal="center" vertical="center" wrapText="1"/>
    </xf>
    <xf numFmtId="165" fontId="2" fillId="2" borderId="10" xfId="4" applyNumberFormat="1" applyFont="1" applyFill="1" applyBorder="1" applyAlignment="1" applyProtection="1">
      <alignment horizontal="center" vertical="center" wrapText="1"/>
    </xf>
    <xf numFmtId="165" fontId="2" fillId="2" borderId="10" xfId="3" applyNumberFormat="1" applyFont="1" applyFill="1" applyBorder="1" applyAlignment="1" applyProtection="1">
      <alignment horizontal="center" vertical="center" wrapText="1"/>
    </xf>
    <xf numFmtId="167" fontId="2" fillId="2" borderId="10" xfId="6" applyNumberFormat="1" applyFont="1" applyFill="1" applyBorder="1" applyAlignment="1" applyProtection="1">
      <alignment horizontal="center" vertical="center" wrapText="1"/>
    </xf>
    <xf numFmtId="165" fontId="2" fillId="2" borderId="10" xfId="1" applyNumberFormat="1" applyFont="1" applyFill="1" applyBorder="1" applyAlignment="1" applyProtection="1">
      <alignment horizontal="center" vertical="center" wrapText="1"/>
    </xf>
    <xf numFmtId="1" fontId="2" fillId="2" borderId="15" xfId="1" applyNumberFormat="1" applyFont="1" applyFill="1" applyBorder="1" applyAlignment="1" applyProtection="1">
      <alignment horizontal="center" vertical="center" wrapText="1"/>
    </xf>
    <xf numFmtId="165" fontId="2" fillId="2" borderId="15" xfId="2" applyNumberFormat="1" applyFont="1" applyFill="1" applyBorder="1" applyAlignment="1" applyProtection="1">
      <alignment horizontal="left" vertical="center" wrapText="1"/>
    </xf>
    <xf numFmtId="10" fontId="2" fillId="2" borderId="15" xfId="6" applyNumberFormat="1" applyFont="1" applyFill="1" applyBorder="1" applyAlignment="1" applyProtection="1">
      <alignment horizontal="center" vertical="center" wrapText="1"/>
    </xf>
    <xf numFmtId="1" fontId="2" fillId="2" borderId="40" xfId="1" applyNumberFormat="1" applyFont="1" applyFill="1" applyBorder="1" applyAlignment="1" applyProtection="1">
      <alignment horizontal="center" vertical="center" wrapText="1"/>
    </xf>
    <xf numFmtId="1" fontId="2" fillId="2" borderId="10" xfId="1" applyNumberFormat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9" fontId="2" fillId="2" borderId="10" xfId="1" applyNumberFormat="1" applyFont="1" applyFill="1" applyBorder="1" applyAlignment="1" applyProtection="1">
      <alignment horizontal="center" vertical="center" wrapText="1"/>
    </xf>
    <xf numFmtId="165" fontId="2" fillId="2" borderId="10" xfId="2" applyNumberFormat="1" applyFont="1" applyFill="1" applyBorder="1" applyAlignment="1" applyProtection="1">
      <alignment horizontal="left" vertical="center" wrapText="1"/>
    </xf>
    <xf numFmtId="10" fontId="2" fillId="2" borderId="10" xfId="6" applyNumberFormat="1" applyFont="1" applyFill="1" applyBorder="1" applyAlignment="1" applyProtection="1">
      <alignment horizontal="center" vertical="center" wrapText="1"/>
    </xf>
    <xf numFmtId="1" fontId="2" fillId="2" borderId="34" xfId="1" applyNumberFormat="1" applyFont="1" applyFill="1" applyBorder="1" applyAlignment="1" applyProtection="1">
      <alignment horizontal="center" vertical="center" wrapText="1"/>
    </xf>
    <xf numFmtId="165" fontId="9" fillId="2" borderId="38" xfId="4" applyNumberFormat="1" applyFont="1" applyFill="1" applyBorder="1" applyAlignment="1" applyProtection="1">
      <alignment vertical="center"/>
    </xf>
    <xf numFmtId="2" fontId="9" fillId="2" borderId="3" xfId="1" applyNumberFormat="1" applyFont="1" applyFill="1" applyBorder="1" applyAlignment="1" applyProtection="1">
      <alignment vertical="center"/>
    </xf>
    <xf numFmtId="0" fontId="2" fillId="2" borderId="5" xfId="1" applyFont="1" applyFill="1" applyBorder="1" applyAlignment="1" applyProtection="1">
      <alignment horizontal="center" vertical="center" wrapText="1"/>
    </xf>
    <xf numFmtId="1" fontId="2" fillId="2" borderId="19" xfId="1" applyNumberFormat="1" applyFont="1" applyFill="1" applyBorder="1" applyAlignment="1" applyProtection="1">
      <alignment horizontal="center" vertical="center" wrapText="1"/>
    </xf>
    <xf numFmtId="0" fontId="2" fillId="2" borderId="20" xfId="1" applyFont="1" applyFill="1" applyBorder="1" applyAlignment="1" applyProtection="1">
      <alignment horizontal="center" vertical="center" wrapText="1"/>
    </xf>
    <xf numFmtId="165" fontId="2" fillId="2" borderId="20" xfId="4" applyNumberFormat="1" applyFont="1" applyFill="1" applyBorder="1" applyAlignment="1" applyProtection="1">
      <alignment horizontal="center" vertical="center" wrapText="1"/>
    </xf>
    <xf numFmtId="165" fontId="2" fillId="2" borderId="20" xfId="3" applyNumberFormat="1" applyFont="1" applyFill="1" applyBorder="1" applyAlignment="1" applyProtection="1">
      <alignment horizontal="center" vertical="center" wrapText="1"/>
    </xf>
    <xf numFmtId="168" fontId="2" fillId="2" borderId="20" xfId="8" applyNumberFormat="1" applyFont="1" applyFill="1" applyBorder="1" applyAlignment="1" applyProtection="1">
      <alignment horizontal="center" vertical="center" wrapText="1"/>
    </xf>
    <xf numFmtId="165" fontId="2" fillId="2" borderId="6" xfId="2" applyNumberFormat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center" vertical="center" wrapText="1"/>
    </xf>
    <xf numFmtId="1" fontId="14" fillId="2" borderId="0" xfId="1" applyNumberFormat="1" applyFont="1" applyFill="1" applyBorder="1" applyAlignment="1" applyProtection="1">
      <alignment horizontal="center" vertical="center" wrapText="1"/>
    </xf>
    <xf numFmtId="2" fontId="9" fillId="2" borderId="0" xfId="1" applyNumberFormat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</xf>
    <xf numFmtId="1" fontId="11" fillId="2" borderId="0" xfId="1" applyNumberFormat="1" applyFont="1" applyFill="1" applyAlignment="1" applyProtection="1">
      <alignment horizontal="center"/>
    </xf>
    <xf numFmtId="0" fontId="11" fillId="2" borderId="0" xfId="1" applyFont="1" applyFill="1" applyProtection="1"/>
    <xf numFmtId="0" fontId="2" fillId="2" borderId="0" xfId="1" applyNumberFormat="1" applyFont="1" applyFill="1" applyProtection="1"/>
    <xf numFmtId="2" fontId="9" fillId="2" borderId="0" xfId="1" applyNumberFormat="1" applyFont="1" applyFill="1" applyBorder="1" applyAlignment="1" applyProtection="1">
      <alignment vertical="center"/>
    </xf>
    <xf numFmtId="10" fontId="2" fillId="2" borderId="0" xfId="6" applyNumberFormat="1" applyFont="1" applyFill="1" applyProtection="1"/>
    <xf numFmtId="165" fontId="2" fillId="2" borderId="0" xfId="1" applyNumberFormat="1" applyFont="1" applyFill="1" applyProtection="1"/>
    <xf numFmtId="165" fontId="2" fillId="2" borderId="0" xfId="6" applyNumberFormat="1" applyFont="1" applyFill="1" applyProtection="1"/>
    <xf numFmtId="43" fontId="2" fillId="2" borderId="0" xfId="4" applyNumberFormat="1" applyFont="1" applyFill="1" applyProtection="1"/>
    <xf numFmtId="165" fontId="2" fillId="2" borderId="0" xfId="9" applyNumberFormat="1" applyFont="1" applyFill="1" applyAlignment="1" applyProtection="1"/>
    <xf numFmtId="170" fontId="11" fillId="2" borderId="0" xfId="1" applyNumberFormat="1" applyFont="1" applyFill="1" applyProtection="1"/>
    <xf numFmtId="165" fontId="2" fillId="2" borderId="0" xfId="9" applyNumberFormat="1" applyFont="1" applyFill="1" applyProtection="1"/>
    <xf numFmtId="43" fontId="2" fillId="0" borderId="0" xfId="2" applyFont="1" applyFill="1" applyProtection="1"/>
    <xf numFmtId="0" fontId="2" fillId="0" borderId="0" xfId="1" applyFont="1" applyFill="1" applyProtection="1"/>
    <xf numFmtId="1" fontId="16" fillId="0" borderId="0" xfId="1" applyNumberFormat="1" applyFont="1" applyFill="1" applyAlignment="1" applyProtection="1">
      <alignment horizontal="center"/>
    </xf>
    <xf numFmtId="43" fontId="16" fillId="0" borderId="0" xfId="2" applyFont="1" applyFill="1" applyProtection="1"/>
    <xf numFmtId="0" fontId="16" fillId="0" borderId="0" xfId="1" applyFont="1" applyFill="1" applyProtection="1"/>
    <xf numFmtId="0" fontId="17" fillId="0" borderId="0" xfId="1" applyFont="1" applyFill="1" applyAlignment="1" applyProtection="1"/>
    <xf numFmtId="0" fontId="16" fillId="0" borderId="0" xfId="1" applyFont="1" applyFill="1" applyBorder="1" applyProtection="1"/>
    <xf numFmtId="0" fontId="18" fillId="0" borderId="0" xfId="1" applyFont="1" applyFill="1" applyProtection="1"/>
    <xf numFmtId="0" fontId="10" fillId="0" borderId="0" xfId="1" applyFont="1" applyFill="1" applyProtection="1"/>
    <xf numFmtId="43" fontId="16" fillId="0" borderId="0" xfId="2" applyFont="1" applyFill="1" applyBorder="1" applyProtection="1"/>
    <xf numFmtId="1" fontId="11" fillId="0" borderId="0" xfId="1" applyNumberFormat="1" applyFont="1" applyFill="1" applyAlignment="1" applyProtection="1">
      <alignment horizontal="center"/>
    </xf>
    <xf numFmtId="0" fontId="11" fillId="0" borderId="0" xfId="1" applyFont="1" applyFill="1" applyProtection="1"/>
    <xf numFmtId="0" fontId="16" fillId="0" borderId="0" xfId="1" applyNumberFormat="1" applyFont="1" applyFill="1" applyProtection="1"/>
    <xf numFmtId="43" fontId="16" fillId="0" borderId="0" xfId="1" applyNumberFormat="1" applyFont="1" applyFill="1" applyProtection="1"/>
    <xf numFmtId="10" fontId="16" fillId="0" borderId="0" xfId="6" applyNumberFormat="1" applyFont="1" applyFill="1" applyProtection="1"/>
    <xf numFmtId="165" fontId="16" fillId="0" borderId="0" xfId="4" applyNumberFormat="1" applyFont="1" applyFill="1" applyProtection="1"/>
    <xf numFmtId="170" fontId="11" fillId="0" borderId="0" xfId="1" applyNumberFormat="1" applyFont="1" applyFill="1" applyProtection="1"/>
    <xf numFmtId="1" fontId="2" fillId="0" borderId="0" xfId="1" applyNumberFormat="1" applyFont="1" applyFill="1" applyAlignment="1" applyProtection="1">
      <alignment horizontal="center"/>
    </xf>
    <xf numFmtId="0" fontId="2" fillId="0" borderId="0" xfId="1" applyFont="1" applyFill="1" applyAlignment="1" applyProtection="1">
      <alignment horizontal="centerContinuous"/>
    </xf>
    <xf numFmtId="0" fontId="2" fillId="0" borderId="0" xfId="1" applyNumberFormat="1" applyFont="1" applyFill="1" applyAlignment="1" applyProtection="1">
      <alignment horizontal="centerContinuous"/>
    </xf>
    <xf numFmtId="10" fontId="2" fillId="0" borderId="0" xfId="6" applyNumberFormat="1" applyFont="1" applyFill="1" applyAlignment="1" applyProtection="1">
      <alignment horizontal="centerContinuous"/>
    </xf>
    <xf numFmtId="0" fontId="9" fillId="0" borderId="20" xfId="1" quotePrefix="1" applyNumberFormat="1" applyFont="1" applyFill="1" applyBorder="1" applyAlignment="1" applyProtection="1">
      <alignment horizontal="center" vertical="center" wrapText="1"/>
    </xf>
    <xf numFmtId="0" fontId="9" fillId="0" borderId="20" xfId="1" applyFont="1" applyFill="1" applyBorder="1" applyAlignment="1" applyProtection="1">
      <alignment horizontal="center" vertical="center" wrapText="1"/>
    </xf>
    <xf numFmtId="2" fontId="9" fillId="0" borderId="17" xfId="1" applyNumberFormat="1" applyFont="1" applyFill="1" applyBorder="1" applyAlignment="1" applyProtection="1">
      <alignment vertical="center"/>
    </xf>
    <xf numFmtId="165" fontId="9" fillId="0" borderId="14" xfId="4" applyNumberFormat="1" applyFont="1" applyFill="1" applyBorder="1" applyAlignment="1" applyProtection="1">
      <alignment vertical="center"/>
    </xf>
    <xf numFmtId="165" fontId="9" fillId="0" borderId="17" xfId="4" applyNumberFormat="1" applyFont="1" applyFill="1" applyBorder="1" applyAlignment="1" applyProtection="1">
      <alignment vertical="center"/>
    </xf>
    <xf numFmtId="2" fontId="9" fillId="0" borderId="2" xfId="1" applyNumberFormat="1" applyFont="1" applyFill="1" applyBorder="1" applyAlignment="1" applyProtection="1">
      <alignment vertical="center"/>
    </xf>
    <xf numFmtId="165" fontId="9" fillId="0" borderId="2" xfId="4" applyNumberFormat="1" applyFont="1" applyFill="1" applyBorder="1" applyAlignment="1" applyProtection="1">
      <alignment vertical="center"/>
    </xf>
    <xf numFmtId="2" fontId="9" fillId="0" borderId="10" xfId="1" applyNumberFormat="1" applyFont="1" applyFill="1" applyBorder="1" applyAlignment="1" applyProtection="1">
      <alignment vertical="center"/>
    </xf>
    <xf numFmtId="165" fontId="9" fillId="0" borderId="10" xfId="4" applyNumberFormat="1" applyFont="1" applyFill="1" applyBorder="1" applyAlignment="1" applyProtection="1">
      <alignment vertical="center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/>
    </xf>
    <xf numFmtId="165" fontId="9" fillId="0" borderId="3" xfId="4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2" fontId="9" fillId="0" borderId="3" xfId="1" applyNumberFormat="1" applyFont="1" applyFill="1" applyBorder="1" applyAlignment="1" applyProtection="1">
      <alignment vertical="center"/>
    </xf>
    <xf numFmtId="2" fontId="9" fillId="0" borderId="1" xfId="1" applyNumberFormat="1" applyFont="1" applyFill="1" applyBorder="1" applyAlignment="1" applyProtection="1">
      <alignment vertical="center"/>
    </xf>
    <xf numFmtId="1" fontId="14" fillId="0" borderId="0" xfId="1" applyNumberFormat="1" applyFont="1" applyFill="1" applyBorder="1" applyAlignment="1" applyProtection="1">
      <alignment horizontal="center" vertical="center" wrapText="1"/>
    </xf>
    <xf numFmtId="2" fontId="9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65" fontId="9" fillId="0" borderId="0" xfId="4" applyNumberFormat="1" applyFont="1" applyFill="1" applyBorder="1" applyAlignment="1" applyProtection="1">
      <alignment vertical="center"/>
    </xf>
    <xf numFmtId="0" fontId="2" fillId="0" borderId="0" xfId="1" applyNumberFormat="1" applyFont="1" applyFill="1" applyProtection="1"/>
    <xf numFmtId="2" fontId="9" fillId="0" borderId="0" xfId="1" applyNumberFormat="1" applyFont="1" applyFill="1" applyBorder="1" applyAlignment="1" applyProtection="1">
      <alignment vertical="center"/>
    </xf>
    <xf numFmtId="43" fontId="2" fillId="0" borderId="0" xfId="1" applyNumberFormat="1" applyFont="1" applyFill="1" applyProtection="1"/>
    <xf numFmtId="10" fontId="2" fillId="0" borderId="0" xfId="6" applyNumberFormat="1" applyFont="1" applyFill="1" applyProtection="1"/>
    <xf numFmtId="165" fontId="2" fillId="0" borderId="0" xfId="1" applyNumberFormat="1" applyFont="1" applyFill="1" applyProtection="1"/>
    <xf numFmtId="165" fontId="2" fillId="0" borderId="0" xfId="4" applyNumberFormat="1" applyFont="1" applyFill="1" applyProtection="1"/>
    <xf numFmtId="0" fontId="2" fillId="0" borderId="0" xfId="1" applyFont="1" applyFill="1" applyAlignment="1" applyProtection="1">
      <alignment horizontal="center"/>
    </xf>
    <xf numFmtId="165" fontId="2" fillId="0" borderId="0" xfId="6" applyNumberFormat="1" applyFont="1" applyFill="1" applyProtection="1"/>
    <xf numFmtId="43" fontId="2" fillId="0" borderId="0" xfId="4" applyNumberFormat="1" applyFont="1" applyFill="1" applyProtection="1"/>
    <xf numFmtId="165" fontId="2" fillId="0" borderId="0" xfId="9" applyNumberFormat="1" applyFont="1" applyFill="1" applyAlignment="1" applyProtection="1"/>
    <xf numFmtId="171" fontId="2" fillId="0" borderId="0" xfId="1" applyNumberFormat="1" applyFont="1" applyFill="1" applyProtection="1"/>
    <xf numFmtId="165" fontId="2" fillId="0" borderId="0" xfId="9" applyNumberFormat="1" applyFont="1" applyFill="1" applyProtection="1"/>
    <xf numFmtId="0" fontId="9" fillId="0" borderId="19" xfId="1" applyFont="1" applyFill="1" applyBorder="1" applyAlignment="1" applyProtection="1">
      <alignment horizontal="center" vertical="center" wrapText="1"/>
    </xf>
    <xf numFmtId="10" fontId="9" fillId="0" borderId="20" xfId="6" applyNumberFormat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43" fontId="17" fillId="0" borderId="0" xfId="2" applyFont="1" applyFill="1" applyAlignment="1" applyProtection="1"/>
    <xf numFmtId="0" fontId="2" fillId="0" borderId="3" xfId="1" applyFont="1" applyFill="1" applyBorder="1" applyAlignment="1" applyProtection="1">
      <alignment vertical="center" wrapText="1"/>
    </xf>
    <xf numFmtId="165" fontId="2" fillId="0" borderId="3" xfId="4" applyNumberFormat="1" applyFont="1" applyFill="1" applyBorder="1" applyAlignment="1" applyProtection="1">
      <alignment vertical="center"/>
    </xf>
    <xf numFmtId="10" fontId="2" fillId="0" borderId="3" xfId="1" applyNumberFormat="1" applyFont="1" applyFill="1" applyBorder="1" applyAlignment="1" applyProtection="1">
      <alignment horizontal="center" vertical="center" wrapText="1"/>
    </xf>
    <xf numFmtId="1" fontId="2" fillId="0" borderId="3" xfId="1" applyNumberFormat="1" applyFont="1" applyFill="1" applyBorder="1" applyAlignment="1" applyProtection="1">
      <alignment horizontal="center" vertical="center" wrapText="1"/>
    </xf>
    <xf numFmtId="165" fontId="2" fillId="0" borderId="3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/>
    </xf>
    <xf numFmtId="165" fontId="2" fillId="0" borderId="3" xfId="4" applyNumberFormat="1" applyFont="1" applyFill="1" applyBorder="1" applyAlignment="1" applyProtection="1">
      <alignment horizontal="center" vertical="center" wrapText="1"/>
    </xf>
    <xf numFmtId="165" fontId="2" fillId="0" borderId="2" xfId="4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vertical="center" wrapText="1"/>
    </xf>
    <xf numFmtId="165" fontId="2" fillId="0" borderId="2" xfId="4" applyNumberFormat="1" applyFont="1" applyFill="1" applyBorder="1" applyAlignment="1" applyProtection="1">
      <alignment vertical="center"/>
    </xf>
    <xf numFmtId="9" fontId="2" fillId="0" borderId="2" xfId="1" applyNumberFormat="1" applyFont="1" applyFill="1" applyBorder="1" applyAlignment="1" applyProtection="1">
      <alignment horizontal="center" vertical="center" wrapText="1"/>
    </xf>
    <xf numFmtId="1" fontId="2" fillId="0" borderId="2" xfId="1" applyNumberFormat="1" applyFont="1" applyFill="1" applyBorder="1" applyAlignment="1" applyProtection="1">
      <alignment horizontal="center" vertical="center" wrapText="1"/>
    </xf>
    <xf numFmtId="165" fontId="2" fillId="0" borderId="2" xfId="1" applyNumberFormat="1" applyFont="1" applyFill="1" applyBorder="1" applyAlignment="1" applyProtection="1">
      <alignment horizontal="center" vertical="center" wrapText="1"/>
    </xf>
    <xf numFmtId="2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10" fontId="2" fillId="0" borderId="2" xfId="6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43" fontId="2" fillId="0" borderId="0" xfId="2" applyFont="1" applyFill="1" applyBorder="1" applyProtection="1"/>
    <xf numFmtId="9" fontId="2" fillId="0" borderId="1" xfId="1" applyNumberFormat="1" applyFont="1" applyFill="1" applyBorder="1" applyAlignment="1" applyProtection="1">
      <alignment horizontal="center" vertical="center" wrapText="1"/>
    </xf>
    <xf numFmtId="165" fontId="2" fillId="0" borderId="1" xfId="4" applyNumberFormat="1" applyFont="1" applyFill="1" applyBorder="1" applyAlignment="1" applyProtection="1">
      <alignment horizontal="center" vertical="center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165" fontId="2" fillId="0" borderId="2" xfId="4" applyNumberFormat="1" applyFont="1" applyFill="1" applyBorder="1" applyAlignment="1" applyProtection="1">
      <alignment vertical="center" wrapText="1"/>
    </xf>
    <xf numFmtId="165" fontId="2" fillId="0" borderId="3" xfId="4" applyNumberFormat="1" applyFont="1" applyFill="1" applyBorder="1" applyAlignment="1" applyProtection="1">
      <alignment vertical="center" wrapText="1"/>
    </xf>
    <xf numFmtId="167" fontId="2" fillId="0" borderId="2" xfId="6" applyNumberFormat="1" applyFont="1" applyFill="1" applyBorder="1" applyAlignment="1" applyProtection="1">
      <alignment horizontal="center" vertical="center" wrapText="1"/>
    </xf>
    <xf numFmtId="43" fontId="2" fillId="0" borderId="2" xfId="4" applyFont="1" applyFill="1" applyBorder="1" applyAlignment="1" applyProtection="1">
      <alignment horizontal="center" vertical="center" wrapText="1"/>
    </xf>
    <xf numFmtId="165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Protection="1"/>
    <xf numFmtId="165" fontId="2" fillId="0" borderId="2" xfId="7" applyNumberFormat="1" applyFont="1" applyFill="1" applyBorder="1" applyAlignment="1" applyProtection="1">
      <alignment horizontal="center" vertical="center" wrapText="1"/>
    </xf>
    <xf numFmtId="10" fontId="2" fillId="0" borderId="2" xfId="1" applyNumberFormat="1" applyFont="1" applyFill="1" applyBorder="1" applyAlignment="1" applyProtection="1">
      <alignment horizontal="center" vertical="center" wrapText="1"/>
    </xf>
    <xf numFmtId="165" fontId="2" fillId="0" borderId="2" xfId="4" applyNumberFormat="1" applyFont="1" applyFill="1" applyBorder="1" applyAlignment="1" applyProtection="1">
      <alignment horizontal="center" vertical="center"/>
    </xf>
    <xf numFmtId="0" fontId="2" fillId="0" borderId="2" xfId="4" applyNumberFormat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10" fontId="2" fillId="0" borderId="1" xfId="6" applyNumberFormat="1" applyFont="1" applyFill="1" applyBorder="1" applyAlignment="1" applyProtection="1">
      <alignment horizontal="center" vertical="center" wrapText="1"/>
    </xf>
    <xf numFmtId="0" fontId="2" fillId="0" borderId="1" xfId="4" applyNumberFormat="1" applyFont="1" applyFill="1" applyBorder="1" applyAlignment="1" applyProtection="1">
      <alignment horizontal="center" vertical="center" wrapText="1"/>
    </xf>
    <xf numFmtId="168" fontId="2" fillId="0" borderId="1" xfId="6" applyNumberFormat="1" applyFont="1" applyFill="1" applyBorder="1" applyAlignment="1" applyProtection="1">
      <alignment horizontal="center" vertical="center" wrapText="1"/>
    </xf>
    <xf numFmtId="43" fontId="2" fillId="0" borderId="2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/>
    </xf>
    <xf numFmtId="43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165" fontId="2" fillId="0" borderId="15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 wrapText="1"/>
    </xf>
    <xf numFmtId="2" fontId="2" fillId="0" borderId="15" xfId="1" applyNumberFormat="1" applyFont="1" applyFill="1" applyBorder="1" applyAlignment="1" applyProtection="1">
      <alignment horizontal="center" vertical="center" wrapText="1"/>
    </xf>
    <xf numFmtId="43" fontId="2" fillId="0" borderId="15" xfId="1" applyNumberFormat="1" applyFont="1" applyFill="1" applyBorder="1" applyAlignment="1" applyProtection="1">
      <alignment horizontal="center" vertical="center" wrapText="1"/>
    </xf>
    <xf numFmtId="9" fontId="2" fillId="0" borderId="15" xfId="1" applyNumberFormat="1" applyFont="1" applyFill="1" applyBorder="1" applyAlignment="1" applyProtection="1">
      <alignment horizontal="center" vertical="center" wrapText="1"/>
    </xf>
    <xf numFmtId="165" fontId="2" fillId="0" borderId="15" xfId="4" applyNumberFormat="1" applyFont="1" applyFill="1" applyBorder="1" applyAlignment="1" applyProtection="1">
      <alignment horizontal="center" vertical="center" wrapText="1"/>
    </xf>
    <xf numFmtId="165" fontId="2" fillId="0" borderId="15" xfId="4" applyNumberFormat="1" applyFont="1" applyFill="1" applyBorder="1" applyAlignment="1" applyProtection="1">
      <alignment vertical="center" wrapText="1"/>
    </xf>
    <xf numFmtId="165" fontId="9" fillId="0" borderId="15" xfId="4" applyNumberFormat="1" applyFont="1" applyFill="1" applyBorder="1" applyAlignment="1" applyProtection="1">
      <alignment vertical="center"/>
    </xf>
    <xf numFmtId="0" fontId="2" fillId="0" borderId="9" xfId="1" applyFont="1" applyFill="1" applyBorder="1" applyAlignment="1" applyProtection="1">
      <alignment horizontal="center" vertical="center" wrapText="1"/>
    </xf>
    <xf numFmtId="10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165" fontId="2" fillId="0" borderId="1" xfId="4" applyNumberFormat="1" applyFont="1" applyFill="1" applyBorder="1" applyAlignment="1" applyProtection="1">
      <alignment horizontal="center" vertical="center" wrapText="1"/>
    </xf>
    <xf numFmtId="0" fontId="2" fillId="0" borderId="2" xfId="1" quotePrefix="1" applyNumberFormat="1" applyFont="1" applyFill="1" applyBorder="1" applyAlignment="1" applyProtection="1">
      <alignment horizontal="center" vertical="center" wrapText="1"/>
    </xf>
    <xf numFmtId="43" fontId="9" fillId="0" borderId="0" xfId="2" applyFont="1" applyFill="1" applyAlignment="1" applyProtection="1"/>
    <xf numFmtId="0" fontId="9" fillId="0" borderId="0" xfId="1" applyFont="1" applyFill="1" applyAlignment="1" applyProtection="1"/>
    <xf numFmtId="9" fontId="10" fillId="0" borderId="2" xfId="1" applyNumberFormat="1" applyFont="1" applyFill="1" applyBorder="1" applyAlignment="1" applyProtection="1">
      <alignment horizontal="center" vertical="center" wrapText="1"/>
    </xf>
    <xf numFmtId="165" fontId="2" fillId="0" borderId="2" xfId="2" applyNumberFormat="1" applyFont="1" applyFill="1" applyBorder="1" applyAlignment="1" applyProtection="1">
      <alignment horizontal="left" vertical="center" wrapText="1"/>
    </xf>
    <xf numFmtId="9" fontId="2" fillId="0" borderId="2" xfId="8" applyFont="1" applyFill="1" applyBorder="1" applyAlignment="1" applyProtection="1">
      <alignment horizontal="center" vertical="center" wrapText="1"/>
    </xf>
    <xf numFmtId="43" fontId="10" fillId="0" borderId="0" xfId="2" applyFont="1" applyFill="1" applyProtection="1"/>
    <xf numFmtId="1" fontId="2" fillId="0" borderId="1" xfId="1" applyNumberFormat="1" applyFont="1" applyFill="1" applyBorder="1" applyAlignment="1" applyProtection="1">
      <alignment horizontal="center" vertical="center" wrapText="1"/>
    </xf>
    <xf numFmtId="167" fontId="2" fillId="0" borderId="2" xfId="8" applyNumberFormat="1" applyFont="1" applyFill="1" applyBorder="1" applyAlignment="1" applyProtection="1">
      <alignment horizontal="center" vertical="center" wrapText="1"/>
    </xf>
    <xf numFmtId="43" fontId="18" fillId="0" borderId="0" xfId="2" applyFont="1" applyFill="1" applyProtection="1"/>
    <xf numFmtId="168" fontId="2" fillId="0" borderId="2" xfId="8" applyNumberFormat="1" applyFont="1" applyFill="1" applyBorder="1" applyAlignment="1" applyProtection="1">
      <alignment horizontal="center" vertical="center" wrapText="1"/>
    </xf>
    <xf numFmtId="165" fontId="2" fillId="0" borderId="1" xfId="3" applyNumberFormat="1" applyFont="1" applyFill="1" applyBorder="1" applyAlignment="1" applyProtection="1">
      <alignment horizontal="center" vertical="center" wrapText="1"/>
    </xf>
    <xf numFmtId="10" fontId="2" fillId="0" borderId="1" xfId="8" applyNumberFormat="1" applyFont="1" applyFill="1" applyBorder="1" applyAlignment="1" applyProtection="1">
      <alignment horizontal="center" vertical="center" wrapText="1"/>
    </xf>
    <xf numFmtId="167" fontId="2" fillId="0" borderId="1" xfId="8" applyNumberFormat="1" applyFont="1" applyFill="1" applyBorder="1" applyAlignment="1" applyProtection="1">
      <alignment horizontal="center" vertical="center" wrapText="1"/>
    </xf>
    <xf numFmtId="169" fontId="2" fillId="0" borderId="2" xfId="4" applyNumberFormat="1" applyFont="1" applyFill="1" applyBorder="1" applyAlignment="1" applyProtection="1">
      <alignment horizontal="center" vertical="center" wrapText="1"/>
    </xf>
    <xf numFmtId="9" fontId="2" fillId="0" borderId="3" xfId="1" applyNumberFormat="1" applyFont="1" applyFill="1" applyBorder="1" applyAlignment="1" applyProtection="1">
      <alignment horizontal="center" vertical="center" wrapText="1"/>
    </xf>
    <xf numFmtId="165" fontId="2" fillId="0" borderId="1" xfId="2" applyNumberFormat="1" applyFont="1" applyFill="1" applyBorder="1" applyAlignment="1" applyProtection="1">
      <alignment horizontal="left" vertical="center" wrapText="1"/>
    </xf>
    <xf numFmtId="167" fontId="2" fillId="0" borderId="1" xfId="6" applyNumberFormat="1" applyFont="1" applyFill="1" applyBorder="1" applyAlignment="1" applyProtection="1">
      <alignment horizontal="center" vertical="center" wrapText="1"/>
    </xf>
    <xf numFmtId="43" fontId="15" fillId="0" borderId="0" xfId="2" applyFont="1" applyFill="1" applyAlignment="1" applyProtection="1"/>
    <xf numFmtId="0" fontId="15" fillId="0" borderId="0" xfId="1" applyFont="1" applyFill="1" applyAlignment="1" applyProtection="1"/>
    <xf numFmtId="167" fontId="2" fillId="0" borderId="15" xfId="6" applyNumberFormat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29" xfId="1" applyFont="1" applyFill="1" applyBorder="1" applyAlignment="1" applyProtection="1">
      <alignment horizontal="center" vertical="center" wrapText="1"/>
    </xf>
    <xf numFmtId="9" fontId="2" fillId="0" borderId="37" xfId="1" applyNumberFormat="1" applyFont="1" applyFill="1" applyBorder="1" applyAlignment="1" applyProtection="1">
      <alignment horizontal="center" vertical="center" wrapText="1"/>
    </xf>
    <xf numFmtId="2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23" xfId="1" applyFont="1" applyFill="1" applyBorder="1" applyAlignment="1" applyProtection="1">
      <alignment horizontal="center" vertical="center" wrapText="1"/>
    </xf>
    <xf numFmtId="165" fontId="2" fillId="0" borderId="10" xfId="4" applyNumberFormat="1" applyFont="1" applyFill="1" applyBorder="1" applyAlignment="1" applyProtection="1">
      <alignment horizontal="center" vertical="center" wrapText="1"/>
    </xf>
    <xf numFmtId="165" fontId="2" fillId="0" borderId="10" xfId="3" applyNumberFormat="1" applyFont="1" applyFill="1" applyBorder="1" applyAlignment="1" applyProtection="1">
      <alignment horizontal="center" vertical="center" wrapText="1"/>
    </xf>
    <xf numFmtId="167" fontId="2" fillId="0" borderId="10" xfId="6" applyNumberFormat="1" applyFont="1" applyFill="1" applyBorder="1" applyAlignment="1" applyProtection="1">
      <alignment horizontal="center" vertical="center" wrapText="1"/>
    </xf>
    <xf numFmtId="165" fontId="2" fillId="0" borderId="10" xfId="1" applyNumberFormat="1" applyFont="1" applyFill="1" applyBorder="1" applyAlignment="1" applyProtection="1">
      <alignment horizontal="center" vertical="center" wrapText="1"/>
    </xf>
    <xf numFmtId="1" fontId="2" fillId="0" borderId="15" xfId="1" applyNumberFormat="1" applyFont="1" applyFill="1" applyBorder="1" applyAlignment="1" applyProtection="1">
      <alignment horizontal="center" vertical="center" wrapText="1"/>
    </xf>
    <xf numFmtId="165" fontId="2" fillId="0" borderId="15" xfId="2" applyNumberFormat="1" applyFont="1" applyFill="1" applyBorder="1" applyAlignment="1" applyProtection="1">
      <alignment horizontal="left" vertical="center" wrapText="1"/>
    </xf>
    <xf numFmtId="10" fontId="2" fillId="0" borderId="15" xfId="6" applyNumberFormat="1" applyFont="1" applyFill="1" applyBorder="1" applyAlignment="1" applyProtection="1">
      <alignment horizontal="center" vertical="center" wrapText="1"/>
    </xf>
    <xf numFmtId="43" fontId="18" fillId="0" borderId="0" xfId="9" applyFont="1" applyFill="1" applyProtection="1"/>
    <xf numFmtId="0" fontId="2" fillId="0" borderId="5" xfId="1" applyFont="1" applyFill="1" applyBorder="1" applyAlignment="1" applyProtection="1">
      <alignment horizontal="center" vertical="center" wrapText="1"/>
    </xf>
    <xf numFmtId="1" fontId="2" fillId="0" borderId="19" xfId="1" applyNumberFormat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165" fontId="2" fillId="0" borderId="20" xfId="4" applyNumberFormat="1" applyFont="1" applyFill="1" applyBorder="1" applyAlignment="1" applyProtection="1">
      <alignment horizontal="center" vertical="center" wrapText="1"/>
    </xf>
    <xf numFmtId="165" fontId="2" fillId="0" borderId="20" xfId="3" applyNumberFormat="1" applyFont="1" applyFill="1" applyBorder="1" applyAlignment="1" applyProtection="1">
      <alignment horizontal="center" vertical="center" wrapText="1"/>
    </xf>
    <xf numFmtId="168" fontId="2" fillId="0" borderId="20" xfId="8" applyNumberFormat="1" applyFont="1" applyFill="1" applyBorder="1" applyAlignment="1" applyProtection="1">
      <alignment horizontal="center" vertical="center" wrapText="1"/>
    </xf>
    <xf numFmtId="165" fontId="2" fillId="0" borderId="6" xfId="2" applyNumberFormat="1" applyFont="1" applyFill="1" applyBorder="1" applyAlignment="1" applyProtection="1">
      <alignment horizontal="left" vertical="center" wrapText="1"/>
    </xf>
    <xf numFmtId="0" fontId="2" fillId="0" borderId="38" xfId="1" applyFont="1" applyFill="1" applyBorder="1" applyAlignment="1" applyProtection="1">
      <alignment horizontal="center" vertical="center" wrapText="1"/>
    </xf>
    <xf numFmtId="0" fontId="2" fillId="0" borderId="31" xfId="1" applyFont="1" applyFill="1" applyBorder="1" applyAlignment="1" applyProtection="1">
      <alignment horizontal="center" vertical="center" wrapText="1"/>
    </xf>
    <xf numFmtId="0" fontId="2" fillId="0" borderId="32" xfId="1" applyFont="1" applyFill="1" applyBorder="1" applyAlignment="1" applyProtection="1">
      <alignment horizontal="center" vertical="center" wrapText="1"/>
    </xf>
    <xf numFmtId="165" fontId="9" fillId="0" borderId="33" xfId="4" applyNumberFormat="1" applyFont="1" applyFill="1" applyBorder="1" applyAlignment="1" applyProtection="1">
      <alignment vertical="center"/>
    </xf>
    <xf numFmtId="165" fontId="9" fillId="0" borderId="31" xfId="4" applyNumberFormat="1" applyFont="1" applyFill="1" applyBorder="1" applyAlignment="1" applyProtection="1">
      <alignment vertical="center"/>
    </xf>
    <xf numFmtId="165" fontId="9" fillId="0" borderId="32" xfId="4" applyNumberFormat="1" applyFont="1" applyFill="1" applyBorder="1" applyAlignment="1" applyProtection="1">
      <alignment vertical="center"/>
    </xf>
    <xf numFmtId="165" fontId="9" fillId="0" borderId="34" xfId="4" applyNumberFormat="1" applyFont="1" applyFill="1" applyBorder="1" applyAlignment="1" applyProtection="1">
      <alignment vertical="center"/>
    </xf>
    <xf numFmtId="1" fontId="2" fillId="0" borderId="31" xfId="1" applyNumberFormat="1" applyFont="1" applyFill="1" applyBorder="1" applyAlignment="1" applyProtection="1">
      <alignment horizontal="center" vertical="center" wrapText="1"/>
    </xf>
    <xf numFmtId="1" fontId="2" fillId="0" borderId="32" xfId="1" applyNumberFormat="1" applyFont="1" applyFill="1" applyBorder="1" applyAlignment="1" applyProtection="1">
      <alignment horizontal="center" vertical="center" wrapText="1"/>
    </xf>
    <xf numFmtId="1" fontId="2" fillId="0" borderId="40" xfId="1" applyNumberFormat="1" applyFont="1" applyFill="1" applyBorder="1" applyAlignment="1" applyProtection="1">
      <alignment horizontal="center" vertical="center" wrapText="1"/>
    </xf>
    <xf numFmtId="165" fontId="9" fillId="0" borderId="38" xfId="4" applyNumberFormat="1" applyFont="1" applyFill="1" applyBorder="1" applyAlignment="1" applyProtection="1">
      <alignment vertical="center"/>
    </xf>
    <xf numFmtId="0" fontId="2" fillId="0" borderId="18" xfId="1" applyFont="1" applyFill="1" applyBorder="1" applyAlignment="1" applyProtection="1">
      <alignment horizontal="center" vertical="center" wrapText="1"/>
    </xf>
    <xf numFmtId="1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9" fontId="2" fillId="0" borderId="10" xfId="1" applyNumberFormat="1" applyFont="1" applyFill="1" applyBorder="1" applyAlignment="1" applyProtection="1">
      <alignment horizontal="center" vertical="center" wrapText="1"/>
    </xf>
    <xf numFmtId="165" fontId="2" fillId="0" borderId="10" xfId="2" applyNumberFormat="1" applyFont="1" applyFill="1" applyBorder="1" applyAlignment="1" applyProtection="1">
      <alignment horizontal="left" vertical="center" wrapText="1"/>
    </xf>
    <xf numFmtId="10" fontId="2" fillId="0" borderId="10" xfId="6" applyNumberFormat="1" applyFont="1" applyFill="1" applyBorder="1" applyAlignment="1" applyProtection="1">
      <alignment horizontal="center" vertical="center" wrapText="1"/>
    </xf>
    <xf numFmtId="0" fontId="20" fillId="0" borderId="0" xfId="0" applyFont="1"/>
    <xf numFmtId="0" fontId="21" fillId="0" borderId="2" xfId="0" applyFont="1" applyBorder="1" applyAlignment="1">
      <alignment horizontal="center" vertical="center" wrapText="1"/>
    </xf>
    <xf numFmtId="169" fontId="21" fillId="0" borderId="2" xfId="2" applyNumberFormat="1" applyFont="1" applyBorder="1" applyAlignment="1">
      <alignment horizontal="center" vertical="center" wrapText="1"/>
    </xf>
    <xf numFmtId="172" fontId="20" fillId="0" borderId="0" xfId="0" applyNumberFormat="1" applyFont="1"/>
    <xf numFmtId="169" fontId="21" fillId="0" borderId="2" xfId="5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9" fontId="22" fillId="0" borderId="2" xfId="0" applyNumberFormat="1" applyFont="1" applyBorder="1" applyAlignment="1">
      <alignment horizontal="center" vertical="center" wrapText="1"/>
    </xf>
    <xf numFmtId="43" fontId="20" fillId="0" borderId="0" xfId="0" applyNumberFormat="1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69" fontId="9" fillId="0" borderId="17" xfId="12" applyNumberFormat="1" applyFont="1" applyFill="1" applyBorder="1" applyAlignment="1">
      <alignment horizontal="center" vertical="center" wrapText="1"/>
    </xf>
    <xf numFmtId="169" fontId="9" fillId="0" borderId="33" xfId="1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9" fontId="2" fillId="0" borderId="2" xfId="12" applyNumberFormat="1" applyFont="1" applyFill="1" applyBorder="1" applyAlignment="1">
      <alignment horizontal="center" vertical="center" wrapText="1"/>
    </xf>
    <xf numFmtId="169" fontId="2" fillId="0" borderId="31" xfId="12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169" fontId="2" fillId="0" borderId="2" xfId="12" applyNumberFormat="1" applyFont="1" applyFill="1" applyBorder="1" applyAlignment="1">
      <alignment horizontal="justify" vertical="center" wrapText="1"/>
    </xf>
    <xf numFmtId="169" fontId="2" fillId="0" borderId="31" xfId="12" applyNumberFormat="1" applyFont="1" applyFill="1" applyBorder="1" applyAlignment="1">
      <alignment horizontal="justify" vertical="center" wrapText="1"/>
    </xf>
    <xf numFmtId="169" fontId="2" fillId="0" borderId="0" xfId="12" applyNumberFormat="1" applyFont="1" applyFill="1" applyBorder="1" applyAlignment="1">
      <alignment horizontal="justify" vertical="center" wrapText="1"/>
    </xf>
    <xf numFmtId="165" fontId="2" fillId="0" borderId="10" xfId="12" applyNumberFormat="1" applyFont="1" applyFill="1" applyBorder="1" applyAlignment="1">
      <alignment horizontal="justify" vertical="center" wrapText="1"/>
    </xf>
    <xf numFmtId="0" fontId="2" fillId="0" borderId="34" xfId="0" applyFont="1" applyFill="1" applyBorder="1" applyAlignment="1">
      <alignment horizontal="justify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 wrapText="1"/>
    </xf>
    <xf numFmtId="0" fontId="2" fillId="0" borderId="32" xfId="1" applyFont="1" applyFill="1" applyBorder="1" applyAlignment="1" applyProtection="1">
      <alignment horizontal="center" vertical="center" wrapText="1"/>
    </xf>
    <xf numFmtId="0" fontId="2" fillId="0" borderId="38" xfId="1" applyFont="1" applyFill="1" applyBorder="1" applyAlignment="1" applyProtection="1">
      <alignment horizontal="center" vertical="center" wrapText="1"/>
    </xf>
    <xf numFmtId="1" fontId="2" fillId="0" borderId="15" xfId="1" applyNumberFormat="1" applyFont="1" applyFill="1" applyBorder="1" applyAlignment="1" applyProtection="1">
      <alignment horizontal="center" vertical="center" wrapText="1"/>
    </xf>
    <xf numFmtId="1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2" fontId="2" fillId="0" borderId="15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</xf>
    <xf numFmtId="1" fontId="2" fillId="0" borderId="32" xfId="1" applyNumberFormat="1" applyFont="1" applyFill="1" applyBorder="1" applyAlignment="1" applyProtection="1">
      <alignment horizontal="center" vertical="center" wrapText="1"/>
    </xf>
    <xf numFmtId="1" fontId="2" fillId="0" borderId="40" xfId="1" applyNumberFormat="1" applyFont="1" applyFill="1" applyBorder="1" applyAlignment="1" applyProtection="1">
      <alignment horizontal="center" vertical="center" wrapText="1"/>
    </xf>
    <xf numFmtId="0" fontId="2" fillId="0" borderId="23" xfId="1" applyFont="1" applyFill="1" applyBorder="1" applyAlignment="1" applyProtection="1">
      <alignment horizontal="center" vertical="center" wrapText="1"/>
    </xf>
    <xf numFmtId="10" fontId="2" fillId="0" borderId="1" xfId="6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165" fontId="2" fillId="0" borderId="1" xfId="4" applyNumberFormat="1" applyFont="1" applyFill="1" applyBorder="1" applyAlignment="1" applyProtection="1">
      <alignment horizontal="center" vertical="center" wrapText="1"/>
    </xf>
    <xf numFmtId="165" fontId="2" fillId="0" borderId="3" xfId="4" applyNumberFormat="1" applyFont="1" applyFill="1" applyBorder="1" applyAlignment="1" applyProtection="1">
      <alignment horizontal="center" vertical="center" wrapText="1"/>
    </xf>
    <xf numFmtId="167" fontId="2" fillId="0" borderId="1" xfId="6" applyNumberFormat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 wrapText="1"/>
    </xf>
    <xf numFmtId="1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2" fontId="2" fillId="0" borderId="2" xfId="1" applyNumberFormat="1" applyFont="1" applyFill="1" applyBorder="1" applyAlignment="1" applyProtection="1">
      <alignment horizontal="center" vertical="center" wrapText="1"/>
    </xf>
    <xf numFmtId="1" fontId="2" fillId="0" borderId="2" xfId="1" applyNumberFormat="1" applyFont="1" applyFill="1" applyBorder="1" applyAlignment="1" applyProtection="1">
      <alignment horizontal="center" vertical="center" wrapText="1"/>
    </xf>
    <xf numFmtId="9" fontId="2" fillId="0" borderId="2" xfId="1" applyNumberFormat="1" applyFont="1" applyFill="1" applyBorder="1" applyAlignment="1" applyProtection="1">
      <alignment horizontal="center" vertical="center" wrapText="1"/>
    </xf>
    <xf numFmtId="165" fontId="2" fillId="0" borderId="2" xfId="4" applyNumberFormat="1" applyFont="1" applyFill="1" applyBorder="1" applyAlignment="1" applyProtection="1">
      <alignment horizontal="center" vertical="center"/>
    </xf>
    <xf numFmtId="10" fontId="2" fillId="0" borderId="15" xfId="6" applyNumberFormat="1" applyFont="1" applyFill="1" applyBorder="1" applyAlignment="1" applyProtection="1">
      <alignment horizontal="center" vertical="center" wrapText="1"/>
    </xf>
    <xf numFmtId="10" fontId="2" fillId="0" borderId="3" xfId="6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165" fontId="2" fillId="0" borderId="15" xfId="1" applyNumberFormat="1" applyFont="1" applyFill="1" applyBorder="1" applyAlignment="1" applyProtection="1">
      <alignment horizontal="center" vertical="center" wrapText="1"/>
    </xf>
    <xf numFmtId="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/>
    </xf>
    <xf numFmtId="43" fontId="10" fillId="0" borderId="0" xfId="9" applyFont="1" applyFill="1" applyProtection="1"/>
    <xf numFmtId="10" fontId="2" fillId="0" borderId="20" xfId="8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 wrapText="1"/>
    </xf>
    <xf numFmtId="0" fontId="2" fillId="2" borderId="32" xfId="1" applyFont="1" applyFill="1" applyBorder="1" applyAlignment="1" applyProtection="1">
      <alignment horizontal="center" vertical="center" wrapText="1"/>
    </xf>
    <xf numFmtId="0" fontId="2" fillId="2" borderId="38" xfId="1" applyFont="1" applyFill="1" applyBorder="1" applyAlignment="1" applyProtection="1">
      <alignment horizontal="center" vertical="center" wrapText="1"/>
    </xf>
    <xf numFmtId="1" fontId="2" fillId="2" borderId="15" xfId="1" applyNumberFormat="1" applyFont="1" applyFill="1" applyBorder="1" applyAlignment="1" applyProtection="1">
      <alignment horizontal="center" vertical="center" wrapText="1"/>
    </xf>
    <xf numFmtId="1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2" fontId="2" fillId="2" borderId="15" xfId="1" applyNumberFormat="1" applyFont="1" applyFill="1" applyBorder="1" applyAlignment="1" applyProtection="1">
      <alignment horizontal="center" vertical="center" wrapText="1"/>
    </xf>
    <xf numFmtId="2" fontId="2" fillId="2" borderId="3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32" xfId="1" applyNumberFormat="1" applyFont="1" applyFill="1" applyBorder="1" applyAlignment="1" applyProtection="1">
      <alignment horizontal="center" vertical="center" wrapText="1"/>
    </xf>
    <xf numFmtId="1" fontId="2" fillId="2" borderId="40" xfId="1" applyNumberFormat="1" applyFont="1" applyFill="1" applyBorder="1" applyAlignment="1" applyProtection="1">
      <alignment horizontal="center" vertical="center" wrapText="1"/>
    </xf>
    <xf numFmtId="0" fontId="2" fillId="2" borderId="23" xfId="1" applyFont="1" applyFill="1" applyBorder="1" applyAlignment="1" applyProtection="1">
      <alignment horizontal="center" vertical="center" wrapText="1"/>
    </xf>
    <xf numFmtId="10" fontId="2" fillId="2" borderId="1" xfId="6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 wrapText="1"/>
    </xf>
    <xf numFmtId="165" fontId="2" fillId="2" borderId="3" xfId="4" applyNumberFormat="1" applyFont="1" applyFill="1" applyBorder="1" applyAlignment="1" applyProtection="1">
      <alignment horizontal="center" vertical="center" wrapText="1"/>
    </xf>
    <xf numFmtId="167" fontId="2" fillId="2" borderId="1" xfId="6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165" fontId="2" fillId="2" borderId="2" xfId="1" applyNumberFormat="1" applyFont="1" applyFill="1" applyBorder="1" applyAlignment="1" applyProtection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2" fontId="2" fillId="2" borderId="2" xfId="1" applyNumberFormat="1" applyFont="1" applyFill="1" applyBorder="1" applyAlignment="1" applyProtection="1">
      <alignment horizontal="center" vertical="center" wrapText="1"/>
    </xf>
    <xf numFmtId="1" fontId="2" fillId="2" borderId="2" xfId="1" applyNumberFormat="1" applyFont="1" applyFill="1" applyBorder="1" applyAlignment="1" applyProtection="1">
      <alignment horizontal="center" vertical="center" wrapText="1"/>
    </xf>
    <xf numFmtId="9" fontId="2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horizontal="center" vertical="center"/>
    </xf>
    <xf numFmtId="10" fontId="2" fillId="2" borderId="15" xfId="6" applyNumberFormat="1" applyFont="1" applyFill="1" applyBorder="1" applyAlignment="1" applyProtection="1">
      <alignment horizontal="center" vertical="center" wrapText="1"/>
    </xf>
    <xf numFmtId="10" fontId="2" fillId="2" borderId="3" xfId="6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5" xfId="1" applyNumberFormat="1" applyFont="1" applyFill="1" applyBorder="1" applyAlignment="1" applyProtection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</xf>
    <xf numFmtId="9" fontId="2" fillId="2" borderId="1" xfId="1" applyNumberFormat="1" applyFont="1" applyFill="1" applyBorder="1" applyAlignment="1" applyProtection="1">
      <alignment horizontal="center" vertical="center" wrapText="1"/>
    </xf>
    <xf numFmtId="9" fontId="2" fillId="2" borderId="15" xfId="1" applyNumberFormat="1" applyFont="1" applyFill="1" applyBorder="1" applyAlignment="1" applyProtection="1">
      <alignment horizontal="center" vertical="center" wrapText="1"/>
    </xf>
    <xf numFmtId="9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0" fontId="12" fillId="0" borderId="0" xfId="1" applyFont="1" applyFill="1" applyAlignment="1" applyProtection="1">
      <alignment horizontal="center"/>
    </xf>
    <xf numFmtId="0" fontId="13" fillId="0" borderId="0" xfId="1" applyFont="1" applyFill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 wrapText="1"/>
    </xf>
    <xf numFmtId="2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32" xfId="1" applyFont="1" applyFill="1" applyBorder="1" applyAlignment="1" applyProtection="1">
      <alignment horizontal="center" vertical="center" wrapText="1"/>
    </xf>
    <xf numFmtId="0" fontId="2" fillId="0" borderId="38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10" fontId="2" fillId="0" borderId="1" xfId="6" applyNumberFormat="1" applyFont="1" applyFill="1" applyBorder="1" applyAlignment="1" applyProtection="1">
      <alignment horizontal="center" vertical="center" wrapText="1"/>
    </xf>
    <xf numFmtId="10" fontId="2" fillId="0" borderId="3" xfId="6" applyNumberFormat="1" applyFont="1" applyFill="1" applyBorder="1" applyAlignment="1" applyProtection="1">
      <alignment horizontal="center" vertical="center" wrapText="1"/>
    </xf>
    <xf numFmtId="9" fontId="2" fillId="0" borderId="2" xfId="1" applyNumberFormat="1" applyFont="1" applyFill="1" applyBorder="1" applyAlignment="1" applyProtection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</xf>
    <xf numFmtId="1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 wrapText="1"/>
    </xf>
    <xf numFmtId="2" fontId="2" fillId="0" borderId="15" xfId="1" applyNumberFormat="1" applyFont="1" applyFill="1" applyBorder="1" applyAlignment="1" applyProtection="1">
      <alignment horizontal="center" vertical="center" wrapText="1"/>
    </xf>
    <xf numFmtId="10" fontId="2" fillId="0" borderId="15" xfId="6" applyNumberFormat="1" applyFont="1" applyFill="1" applyBorder="1" applyAlignment="1" applyProtection="1">
      <alignment horizontal="center" vertical="center" wrapText="1"/>
    </xf>
    <xf numFmtId="1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40" xfId="1" applyFont="1" applyFill="1" applyBorder="1" applyAlignment="1" applyProtection="1">
      <alignment horizontal="center" vertical="center" wrapText="1"/>
    </xf>
    <xf numFmtId="165" fontId="2" fillId="0" borderId="1" xfId="4" applyNumberFormat="1" applyFont="1" applyFill="1" applyBorder="1" applyAlignment="1" applyProtection="1">
      <alignment horizontal="center" vertical="center" wrapText="1"/>
    </xf>
    <xf numFmtId="165" fontId="2" fillId="0" borderId="3" xfId="4" applyNumberFormat="1" applyFont="1" applyFill="1" applyBorder="1" applyAlignment="1" applyProtection="1">
      <alignment horizontal="center" vertical="center" wrapText="1"/>
    </xf>
    <xf numFmtId="167" fontId="2" fillId="0" borderId="1" xfId="6" applyNumberFormat="1" applyFont="1" applyFill="1" applyBorder="1" applyAlignment="1" applyProtection="1">
      <alignment horizontal="center" vertical="center" wrapText="1"/>
    </xf>
    <xf numFmtId="167" fontId="2" fillId="0" borderId="3" xfId="6" applyNumberFormat="1" applyFont="1" applyFill="1" applyBorder="1" applyAlignment="1" applyProtection="1">
      <alignment horizontal="center" vertical="center" wrapText="1"/>
    </xf>
    <xf numFmtId="1" fontId="2" fillId="0" borderId="15" xfId="1" applyNumberFormat="1" applyFont="1" applyFill="1" applyBorder="1" applyAlignment="1" applyProtection="1">
      <alignment horizontal="center" vertical="center" wrapText="1"/>
    </xf>
    <xf numFmtId="0" fontId="2" fillId="0" borderId="21" xfId="1" applyFont="1" applyFill="1" applyBorder="1" applyAlignment="1" applyProtection="1">
      <alignment horizontal="center" vertical="center" wrapText="1"/>
    </xf>
    <xf numFmtId="1" fontId="2" fillId="0" borderId="23" xfId="1" applyNumberFormat="1" applyFont="1" applyFill="1" applyBorder="1" applyAlignment="1" applyProtection="1">
      <alignment horizontal="center" vertical="center" wrapText="1"/>
    </xf>
    <xf numFmtId="0" fontId="2" fillId="0" borderId="23" xfId="1" applyFont="1" applyFill="1" applyBorder="1" applyAlignment="1" applyProtection="1">
      <alignment horizontal="center" vertical="center" wrapText="1"/>
    </xf>
    <xf numFmtId="0" fontId="2" fillId="0" borderId="39" xfId="1" applyFont="1" applyFill="1" applyBorder="1" applyAlignment="1" applyProtection="1">
      <alignment horizontal="center" vertical="center" wrapText="1"/>
    </xf>
    <xf numFmtId="10" fontId="2" fillId="0" borderId="23" xfId="6" applyNumberFormat="1" applyFont="1" applyFill="1" applyBorder="1" applyAlignment="1" applyProtection="1">
      <alignment horizontal="center" vertical="center" wrapText="1"/>
    </xf>
    <xf numFmtId="1" fontId="14" fillId="0" borderId="35" xfId="1" applyNumberFormat="1" applyFont="1" applyFill="1" applyBorder="1" applyAlignment="1" applyProtection="1">
      <alignment horizontal="center" vertical="center" wrapText="1"/>
    </xf>
    <xf numFmtId="1" fontId="14" fillId="0" borderId="17" xfId="1" applyNumberFormat="1" applyFont="1" applyFill="1" applyBorder="1" applyAlignment="1" applyProtection="1">
      <alignment horizontal="center" vertical="center" wrapText="1"/>
    </xf>
    <xf numFmtId="1" fontId="14" fillId="0" borderId="7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2" fontId="9" fillId="0" borderId="17" xfId="1" applyNumberFormat="1" applyFont="1" applyFill="1" applyBorder="1" applyAlignment="1" applyProtection="1">
      <alignment horizontal="center" vertical="center"/>
    </xf>
    <xf numFmtId="2" fontId="9" fillId="0" borderId="2" xfId="1" applyNumberFormat="1" applyFont="1" applyFill="1" applyBorder="1" applyAlignment="1" applyProtection="1">
      <alignment horizontal="center" vertical="center"/>
    </xf>
    <xf numFmtId="2" fontId="9" fillId="0" borderId="1" xfId="1" applyNumberFormat="1" applyFont="1" applyFill="1" applyBorder="1" applyAlignment="1" applyProtection="1">
      <alignment horizontal="center" vertical="center"/>
    </xf>
    <xf numFmtId="2" fontId="9" fillId="0" borderId="36" xfId="1" applyNumberFormat="1" applyFont="1" applyFill="1" applyBorder="1" applyAlignment="1" applyProtection="1">
      <alignment horizontal="center" vertical="center"/>
    </xf>
    <xf numFmtId="2" fontId="9" fillId="0" borderId="30" xfId="1" applyNumberFormat="1" applyFont="1" applyFill="1" applyBorder="1" applyAlignment="1" applyProtection="1">
      <alignment horizontal="center" vertical="center"/>
    </xf>
    <xf numFmtId="2" fontId="9" fillId="0" borderId="13" xfId="1" applyNumberFormat="1" applyFont="1" applyFill="1" applyBorder="1" applyAlignment="1" applyProtection="1">
      <alignment horizontal="center" vertical="center"/>
    </xf>
    <xf numFmtId="1" fontId="14" fillId="0" borderId="8" xfId="1" applyNumberFormat="1" applyFont="1" applyFill="1" applyBorder="1" applyAlignment="1" applyProtection="1">
      <alignment horizontal="center" vertical="center" wrapText="1"/>
    </xf>
    <xf numFmtId="1" fontId="14" fillId="0" borderId="10" xfId="1" applyNumberFormat="1" applyFont="1" applyFill="1" applyBorder="1" applyAlignment="1" applyProtection="1">
      <alignment horizontal="center" vertical="center" wrapText="1"/>
    </xf>
    <xf numFmtId="2" fontId="9" fillId="0" borderId="10" xfId="1" applyNumberFormat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 wrapText="1"/>
    </xf>
    <xf numFmtId="1" fontId="2" fillId="0" borderId="32" xfId="1" applyNumberFormat="1" applyFont="1" applyFill="1" applyBorder="1" applyAlignment="1" applyProtection="1">
      <alignment horizontal="center" vertical="center" wrapText="1"/>
    </xf>
    <xf numFmtId="1" fontId="2" fillId="0" borderId="40" xfId="1" applyNumberFormat="1" applyFont="1" applyFill="1" applyBorder="1" applyAlignment="1" applyProtection="1">
      <alignment horizontal="center" vertical="center" wrapText="1"/>
    </xf>
    <xf numFmtId="1" fontId="2" fillId="0" borderId="38" xfId="1" applyNumberFormat="1" applyFont="1" applyFill="1" applyBorder="1" applyAlignment="1" applyProtection="1">
      <alignment horizontal="center" vertical="center" wrapText="1"/>
    </xf>
    <xf numFmtId="1" fontId="14" fillId="0" borderId="9" xfId="1" applyNumberFormat="1" applyFont="1" applyFill="1" applyBorder="1" applyAlignment="1" applyProtection="1">
      <alignment horizontal="center" vertical="center" wrapText="1"/>
    </xf>
    <xf numFmtId="1" fontId="14" fillId="0" borderId="3" xfId="1" applyNumberFormat="1" applyFont="1" applyFill="1" applyBorder="1" applyAlignment="1" applyProtection="1">
      <alignment horizontal="center" vertical="center" wrapText="1"/>
    </xf>
    <xf numFmtId="2" fontId="9" fillId="0" borderId="27" xfId="1" applyNumberFormat="1" applyFont="1" applyFill="1" applyBorder="1" applyAlignment="1" applyProtection="1">
      <alignment horizontal="center" vertical="center"/>
    </xf>
    <xf numFmtId="2" fontId="9" fillId="0" borderId="4" xfId="1" applyNumberFormat="1" applyFont="1" applyFill="1" applyBorder="1" applyAlignment="1" applyProtection="1">
      <alignment horizontal="center" vertical="center"/>
    </xf>
    <xf numFmtId="2" fontId="9" fillId="0" borderId="26" xfId="1" applyNumberFormat="1" applyFont="1" applyFill="1" applyBorder="1" applyAlignment="1" applyProtection="1">
      <alignment horizontal="center" vertical="center"/>
    </xf>
    <xf numFmtId="2" fontId="9" fillId="0" borderId="16" xfId="1" applyNumberFormat="1" applyFont="1" applyFill="1" applyBorder="1" applyAlignment="1" applyProtection="1">
      <alignment horizontal="center" vertical="center"/>
    </xf>
    <xf numFmtId="2" fontId="9" fillId="0" borderId="28" xfId="1" applyNumberFormat="1" applyFont="1" applyFill="1" applyBorder="1" applyAlignment="1" applyProtection="1">
      <alignment horizontal="center" vertical="center"/>
    </xf>
    <xf numFmtId="2" fontId="9" fillId="0" borderId="12" xfId="1" applyNumberFormat="1" applyFont="1" applyFill="1" applyBorder="1" applyAlignment="1" applyProtection="1">
      <alignment horizontal="center" vertical="center"/>
    </xf>
    <xf numFmtId="0" fontId="1" fillId="0" borderId="23" xfId="17" applyFont="1" applyFill="1" applyBorder="1" applyAlignment="1" applyProtection="1">
      <alignment horizontal="center" vertical="center" wrapText="1"/>
    </xf>
    <xf numFmtId="2" fontId="9" fillId="0" borderId="24" xfId="1" applyNumberFormat="1" applyFont="1" applyFill="1" applyBorder="1" applyAlignment="1" applyProtection="1">
      <alignment horizontal="center" vertical="center"/>
    </xf>
    <xf numFmtId="1" fontId="14" fillId="0" borderId="11" xfId="1" applyNumberFormat="1" applyFont="1" applyFill="1" applyBorder="1" applyAlignment="1" applyProtection="1">
      <alignment horizontal="center" vertical="center" wrapText="1"/>
    </xf>
    <xf numFmtId="1" fontId="14" fillId="0" borderId="1" xfId="1" applyNumberFormat="1" applyFont="1" applyFill="1" applyBorder="1" applyAlignment="1" applyProtection="1">
      <alignment horizontal="center" vertical="center" wrapText="1"/>
    </xf>
    <xf numFmtId="2" fontId="9" fillId="0" borderId="41" xfId="1" applyNumberFormat="1" applyFont="1" applyFill="1" applyBorder="1" applyAlignment="1" applyProtection="1">
      <alignment horizontal="center" vertical="center"/>
    </xf>
    <xf numFmtId="2" fontId="9" fillId="0" borderId="42" xfId="1" applyNumberFormat="1" applyFont="1" applyFill="1" applyBorder="1" applyAlignment="1" applyProtection="1">
      <alignment horizontal="center" vertical="center"/>
    </xf>
    <xf numFmtId="2" fontId="9" fillId="0" borderId="43" xfId="1" applyNumberFormat="1" applyFont="1" applyFill="1" applyBorder="1" applyAlignment="1" applyProtection="1">
      <alignment horizontal="center" vertical="center"/>
    </xf>
    <xf numFmtId="1" fontId="14" fillId="0" borderId="33" xfId="1" applyNumberFormat="1" applyFont="1" applyFill="1" applyBorder="1" applyAlignment="1" applyProtection="1">
      <alignment horizontal="center" vertical="center" wrapText="1"/>
    </xf>
    <xf numFmtId="1" fontId="14" fillId="0" borderId="31" xfId="1" applyNumberFormat="1" applyFont="1" applyFill="1" applyBorder="1" applyAlignment="1" applyProtection="1">
      <alignment horizontal="center" vertical="center" wrapText="1"/>
    </xf>
    <xf numFmtId="1" fontId="14" fillId="0" borderId="32" xfId="1" applyNumberFormat="1" applyFont="1" applyFill="1" applyBorder="1" applyAlignment="1" applyProtection="1">
      <alignment horizontal="center" vertical="center" wrapText="1"/>
    </xf>
    <xf numFmtId="2" fontId="9" fillId="0" borderId="3" xfId="1" applyNumberFormat="1" applyFont="1" applyFill="1" applyBorder="1" applyAlignment="1" applyProtection="1">
      <alignment horizontal="center" vertical="center"/>
    </xf>
    <xf numFmtId="2" fontId="9" fillId="0" borderId="25" xfId="1" applyNumberFormat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 wrapText="1"/>
    </xf>
    <xf numFmtId="165" fontId="2" fillId="0" borderId="2" xfId="4" applyNumberFormat="1" applyFont="1" applyFill="1" applyBorder="1" applyAlignment="1" applyProtection="1">
      <alignment horizontal="center" vertical="center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165" fontId="2" fillId="0" borderId="15" xfId="1" applyNumberFormat="1" applyFont="1" applyFill="1" applyBorder="1" applyAlignment="1" applyProtection="1">
      <alignment horizontal="center" vertical="center" wrapText="1"/>
    </xf>
    <xf numFmtId="165" fontId="2" fillId="0" borderId="3" xfId="1" applyNumberFormat="1" applyFont="1" applyFill="1" applyBorder="1" applyAlignment="1" applyProtection="1">
      <alignment horizontal="center" vertical="center" wrapText="1"/>
    </xf>
    <xf numFmtId="9" fontId="2" fillId="0" borderId="1" xfId="1" applyNumberFormat="1" applyFont="1" applyFill="1" applyBorder="1" applyAlignment="1" applyProtection="1">
      <alignment horizontal="center" vertical="center" wrapText="1"/>
    </xf>
    <xf numFmtId="9" fontId="2" fillId="0" borderId="15" xfId="1" applyNumberFormat="1" applyFont="1" applyFill="1" applyBorder="1" applyAlignment="1" applyProtection="1">
      <alignment horizontal="center" vertical="center" wrapText="1"/>
    </xf>
    <xf numFmtId="9" fontId="2" fillId="0" borderId="3" xfId="1" applyNumberFormat="1" applyFont="1" applyFill="1" applyBorder="1" applyAlignment="1" applyProtection="1">
      <alignment horizontal="center" vertical="center" wrapText="1"/>
    </xf>
    <xf numFmtId="165" fontId="2" fillId="0" borderId="1" xfId="4" applyNumberFormat="1" applyFont="1" applyFill="1" applyBorder="1" applyAlignment="1" applyProtection="1">
      <alignment horizontal="center" vertical="center"/>
    </xf>
    <xf numFmtId="165" fontId="2" fillId="0" borderId="15" xfId="4" applyNumberFormat="1" applyFont="1" applyFill="1" applyBorder="1" applyAlignment="1" applyProtection="1">
      <alignment horizontal="center" vertical="center"/>
    </xf>
    <xf numFmtId="165" fontId="2" fillId="0" borderId="3" xfId="4" applyNumberFormat="1" applyFont="1" applyFill="1" applyBorder="1" applyAlignment="1" applyProtection="1">
      <alignment horizontal="center" vertical="center"/>
    </xf>
    <xf numFmtId="167" fontId="2" fillId="0" borderId="2" xfId="1" applyNumberFormat="1" applyFont="1" applyFill="1" applyBorder="1" applyAlignment="1" applyProtection="1">
      <alignment horizontal="center" vertical="center" wrapText="1"/>
    </xf>
    <xf numFmtId="1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/>
    </xf>
    <xf numFmtId="0" fontId="1" fillId="0" borderId="23" xfId="1" applyFont="1" applyFill="1" applyBorder="1" applyAlignment="1" applyProtection="1">
      <alignment horizontal="center" vertical="center" wrapText="1"/>
    </xf>
    <xf numFmtId="0" fontId="12" fillId="2" borderId="0" xfId="1" applyFont="1" applyFill="1" applyAlignment="1" applyProtection="1">
      <alignment horizontal="center"/>
    </xf>
    <xf numFmtId="0" fontId="13" fillId="2" borderId="0" xfId="1" applyFont="1" applyFill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2" fontId="2" fillId="2" borderId="3" xfId="1" applyNumberFormat="1" applyFont="1" applyFill="1" applyBorder="1" applyAlignment="1" applyProtection="1">
      <alignment horizontal="center" vertical="center" wrapText="1"/>
    </xf>
    <xf numFmtId="2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2" xfId="1" applyFont="1" applyFill="1" applyBorder="1" applyAlignment="1" applyProtection="1">
      <alignment horizontal="center" vertical="center" wrapText="1"/>
    </xf>
    <xf numFmtId="0" fontId="2" fillId="2" borderId="38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10" fontId="2" fillId="2" borderId="1" xfId="6" applyNumberFormat="1" applyFont="1" applyFill="1" applyBorder="1" applyAlignment="1" applyProtection="1">
      <alignment horizontal="center" vertical="center" wrapText="1"/>
    </xf>
    <xf numFmtId="10" fontId="2" fillId="2" borderId="3" xfId="6" applyNumberFormat="1" applyFont="1" applyFill="1" applyBorder="1" applyAlignment="1" applyProtection="1">
      <alignment horizontal="center" vertical="center" wrapText="1"/>
    </xf>
    <xf numFmtId="165" fontId="2" fillId="2" borderId="2" xfId="1" applyNumberFormat="1" applyFont="1" applyFill="1" applyBorder="1" applyAlignment="1" applyProtection="1">
      <alignment horizontal="center" vertical="center" wrapText="1"/>
    </xf>
    <xf numFmtId="9" fontId="2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horizontal="center" vertical="center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 wrapText="1"/>
    </xf>
    <xf numFmtId="2" fontId="2" fillId="2" borderId="15" xfId="1" applyNumberFormat="1" applyFont="1" applyFill="1" applyBorder="1" applyAlignment="1" applyProtection="1">
      <alignment horizontal="center" vertical="center" wrapText="1"/>
    </xf>
    <xf numFmtId="10" fontId="2" fillId="2" borderId="15" xfId="6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5" xfId="1" applyNumberFormat="1" applyFont="1" applyFill="1" applyBorder="1" applyAlignment="1" applyProtection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</xf>
    <xf numFmtId="9" fontId="2" fillId="2" borderId="1" xfId="1" applyNumberFormat="1" applyFont="1" applyFill="1" applyBorder="1" applyAlignment="1" applyProtection="1">
      <alignment horizontal="center" vertical="center" wrapText="1"/>
    </xf>
    <xf numFmtId="9" fontId="2" fillId="2" borderId="15" xfId="1" applyNumberFormat="1" applyFont="1" applyFill="1" applyBorder="1" applyAlignment="1" applyProtection="1">
      <alignment horizontal="center" vertical="center" wrapText="1"/>
    </xf>
    <xf numFmtId="9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/>
    </xf>
    <xf numFmtId="165" fontId="2" fillId="2" borderId="15" xfId="4" applyNumberFormat="1" applyFont="1" applyFill="1" applyBorder="1" applyAlignment="1" applyProtection="1">
      <alignment horizontal="center" vertical="center"/>
    </xf>
    <xf numFmtId="165" fontId="2" fillId="2" borderId="3" xfId="4" applyNumberFormat="1" applyFont="1" applyFill="1" applyBorder="1" applyAlignment="1" applyProtection="1">
      <alignment horizontal="center" vertical="center"/>
    </xf>
    <xf numFmtId="1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167" fontId="2" fillId="2" borderId="2" xfId="1" applyNumberFormat="1" applyFont="1" applyFill="1" applyBorder="1" applyAlignment="1" applyProtection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1" fontId="2" fillId="2" borderId="15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21" xfId="1" applyFont="1" applyFill="1" applyBorder="1" applyAlignment="1" applyProtection="1">
      <alignment horizontal="center" vertical="center" wrapText="1"/>
    </xf>
    <xf numFmtId="1" fontId="2" fillId="2" borderId="23" xfId="1" applyNumberFormat="1" applyFont="1" applyFill="1" applyBorder="1" applyAlignment="1" applyProtection="1">
      <alignment horizontal="center" vertical="center" wrapText="1"/>
    </xf>
    <xf numFmtId="0" fontId="2" fillId="2" borderId="23" xfId="1" applyFont="1" applyFill="1" applyBorder="1" applyAlignment="1" applyProtection="1">
      <alignment horizontal="center" vertical="center" wrapText="1"/>
    </xf>
    <xf numFmtId="0" fontId="2" fillId="2" borderId="39" xfId="1" applyFont="1" applyFill="1" applyBorder="1" applyAlignment="1" applyProtection="1">
      <alignment horizontal="center" vertical="center" wrapText="1"/>
    </xf>
    <xf numFmtId="10" fontId="2" fillId="2" borderId="23" xfId="6" applyNumberFormat="1" applyFont="1" applyFill="1" applyBorder="1" applyAlignment="1" applyProtection="1">
      <alignment horizontal="center" vertical="center" wrapText="1"/>
    </xf>
    <xf numFmtId="1" fontId="14" fillId="2" borderId="35" xfId="1" applyNumberFormat="1" applyFont="1" applyFill="1" applyBorder="1" applyAlignment="1" applyProtection="1">
      <alignment horizontal="center" vertical="center" wrapText="1"/>
    </xf>
    <xf numFmtId="1" fontId="14" fillId="2" borderId="17" xfId="1" applyNumberFormat="1" applyFont="1" applyFill="1" applyBorder="1" applyAlignment="1" applyProtection="1">
      <alignment horizontal="center" vertical="center" wrapText="1"/>
    </xf>
    <xf numFmtId="1" fontId="14" fillId="2" borderId="7" xfId="1" applyNumberFormat="1" applyFont="1" applyFill="1" applyBorder="1" applyAlignment="1" applyProtection="1">
      <alignment horizontal="center" vertical="center" wrapText="1"/>
    </xf>
    <xf numFmtId="1" fontId="14" fillId="2" borderId="2" xfId="1" applyNumberFormat="1" applyFont="1" applyFill="1" applyBorder="1" applyAlignment="1" applyProtection="1">
      <alignment horizontal="center" vertical="center" wrapText="1"/>
    </xf>
    <xf numFmtId="2" fontId="9" fillId="2" borderId="17" xfId="1" applyNumberFormat="1" applyFont="1" applyFill="1" applyBorder="1" applyAlignment="1" applyProtection="1">
      <alignment horizontal="center" vertical="center"/>
    </xf>
    <xf numFmtId="2" fontId="9" fillId="2" borderId="2" xfId="1" applyNumberFormat="1" applyFont="1" applyFill="1" applyBorder="1" applyAlignment="1" applyProtection="1">
      <alignment horizontal="center" vertical="center"/>
    </xf>
    <xf numFmtId="2" fontId="9" fillId="2" borderId="1" xfId="1" applyNumberFormat="1" applyFont="1" applyFill="1" applyBorder="1" applyAlignment="1" applyProtection="1">
      <alignment horizontal="center" vertical="center"/>
    </xf>
    <xf numFmtId="2" fontId="9" fillId="2" borderId="36" xfId="1" applyNumberFormat="1" applyFont="1" applyFill="1" applyBorder="1" applyAlignment="1" applyProtection="1">
      <alignment horizontal="center" vertical="center"/>
    </xf>
    <xf numFmtId="2" fontId="9" fillId="2" borderId="30" xfId="1" applyNumberFormat="1" applyFont="1" applyFill="1" applyBorder="1" applyAlignment="1" applyProtection="1">
      <alignment horizontal="center" vertical="center"/>
    </xf>
    <xf numFmtId="2" fontId="9" fillId="2" borderId="13" xfId="1" applyNumberFormat="1" applyFont="1" applyFill="1" applyBorder="1" applyAlignment="1" applyProtection="1">
      <alignment horizontal="center" vertical="center"/>
    </xf>
    <xf numFmtId="165" fontId="2" fillId="2" borderId="1" xfId="4" applyNumberFormat="1" applyFont="1" applyFill="1" applyBorder="1" applyAlignment="1" applyProtection="1">
      <alignment horizontal="center" vertical="center" wrapText="1"/>
    </xf>
    <xf numFmtId="165" fontId="2" fillId="2" borderId="3" xfId="4" applyNumberFormat="1" applyFont="1" applyFill="1" applyBorder="1" applyAlignment="1" applyProtection="1">
      <alignment horizontal="center" vertical="center" wrapText="1"/>
    </xf>
    <xf numFmtId="167" fontId="2" fillId="2" borderId="1" xfId="6" applyNumberFormat="1" applyFont="1" applyFill="1" applyBorder="1" applyAlignment="1" applyProtection="1">
      <alignment horizontal="center" vertical="center" wrapText="1"/>
    </xf>
    <xf numFmtId="167" fontId="2" fillId="2" borderId="3" xfId="6" applyNumberFormat="1" applyFont="1" applyFill="1" applyBorder="1" applyAlignment="1" applyProtection="1">
      <alignment horizontal="center" vertical="center" wrapText="1"/>
    </xf>
    <xf numFmtId="1" fontId="14" fillId="2" borderId="8" xfId="1" applyNumberFormat="1" applyFont="1" applyFill="1" applyBorder="1" applyAlignment="1" applyProtection="1">
      <alignment horizontal="center" vertical="center" wrapText="1"/>
    </xf>
    <xf numFmtId="1" fontId="14" fillId="2" borderId="10" xfId="1" applyNumberFormat="1" applyFont="1" applyFill="1" applyBorder="1" applyAlignment="1" applyProtection="1">
      <alignment horizontal="center" vertical="center" wrapText="1"/>
    </xf>
    <xf numFmtId="2" fontId="9" fillId="2" borderId="10" xfId="1" applyNumberFormat="1" applyFont="1" applyFill="1" applyBorder="1" applyAlignment="1" applyProtection="1">
      <alignment horizontal="center" vertical="center"/>
    </xf>
    <xf numFmtId="0" fontId="2" fillId="2" borderId="22" xfId="1" applyFont="1" applyFill="1" applyBorder="1" applyAlignment="1" applyProtection="1">
      <alignment horizontal="center" vertical="center" wrapText="1"/>
    </xf>
    <xf numFmtId="1" fontId="2" fillId="2" borderId="32" xfId="1" applyNumberFormat="1" applyFont="1" applyFill="1" applyBorder="1" applyAlignment="1" applyProtection="1">
      <alignment horizontal="center" vertical="center" wrapText="1"/>
    </xf>
    <xf numFmtId="1" fontId="2" fillId="2" borderId="40" xfId="1" applyNumberFormat="1" applyFont="1" applyFill="1" applyBorder="1" applyAlignment="1" applyProtection="1">
      <alignment horizontal="center" vertical="center" wrapText="1"/>
    </xf>
    <xf numFmtId="1" fontId="2" fillId="2" borderId="38" xfId="1" applyNumberFormat="1" applyFont="1" applyFill="1" applyBorder="1" applyAlignment="1" applyProtection="1">
      <alignment horizontal="center" vertical="center" wrapText="1"/>
    </xf>
    <xf numFmtId="1" fontId="14" fillId="2" borderId="9" xfId="1" applyNumberFormat="1" applyFont="1" applyFill="1" applyBorder="1" applyAlignment="1" applyProtection="1">
      <alignment horizontal="center" vertical="center" wrapText="1"/>
    </xf>
    <xf numFmtId="1" fontId="14" fillId="2" borderId="3" xfId="1" applyNumberFormat="1" applyFont="1" applyFill="1" applyBorder="1" applyAlignment="1" applyProtection="1">
      <alignment horizontal="center" vertical="center" wrapText="1"/>
    </xf>
    <xf numFmtId="2" fontId="9" fillId="2" borderId="27" xfId="1" applyNumberFormat="1" applyFont="1" applyFill="1" applyBorder="1" applyAlignment="1" applyProtection="1">
      <alignment horizontal="center" vertical="center"/>
    </xf>
    <xf numFmtId="2" fontId="9" fillId="2" borderId="4" xfId="1" applyNumberFormat="1" applyFont="1" applyFill="1" applyBorder="1" applyAlignment="1" applyProtection="1">
      <alignment horizontal="center" vertical="center"/>
    </xf>
    <xf numFmtId="2" fontId="9" fillId="2" borderId="26" xfId="1" applyNumberFormat="1" applyFont="1" applyFill="1" applyBorder="1" applyAlignment="1" applyProtection="1">
      <alignment horizontal="center" vertical="center"/>
    </xf>
    <xf numFmtId="2" fontId="9" fillId="2" borderId="16" xfId="1" applyNumberFormat="1" applyFont="1" applyFill="1" applyBorder="1" applyAlignment="1" applyProtection="1">
      <alignment horizontal="center" vertical="center"/>
    </xf>
    <xf numFmtId="2" fontId="9" fillId="2" borderId="28" xfId="1" applyNumberFormat="1" applyFont="1" applyFill="1" applyBorder="1" applyAlignment="1" applyProtection="1">
      <alignment horizontal="center" vertical="center"/>
    </xf>
    <xf numFmtId="2" fontId="9" fillId="2" borderId="12" xfId="1" applyNumberFormat="1" applyFont="1" applyFill="1" applyBorder="1" applyAlignment="1" applyProtection="1">
      <alignment horizontal="center" vertical="center"/>
    </xf>
    <xf numFmtId="0" fontId="1" fillId="2" borderId="23" xfId="1" applyFont="1" applyFill="1" applyBorder="1" applyAlignment="1" applyProtection="1">
      <alignment horizontal="center" vertical="center" wrapText="1"/>
    </xf>
    <xf numFmtId="2" fontId="9" fillId="2" borderId="24" xfId="1" applyNumberFormat="1" applyFont="1" applyFill="1" applyBorder="1" applyAlignment="1" applyProtection="1">
      <alignment horizontal="center" vertical="center"/>
    </xf>
    <xf numFmtId="1" fontId="14" fillId="2" borderId="11" xfId="1" applyNumberFormat="1" applyFont="1" applyFill="1" applyBorder="1" applyAlignment="1" applyProtection="1">
      <alignment horizontal="center" vertical="center" wrapText="1"/>
    </xf>
    <xf numFmtId="1" fontId="14" fillId="2" borderId="1" xfId="1" applyNumberFormat="1" applyFont="1" applyFill="1" applyBorder="1" applyAlignment="1" applyProtection="1">
      <alignment horizontal="center" vertical="center" wrapText="1"/>
    </xf>
    <xf numFmtId="1" fontId="14" fillId="2" borderId="33" xfId="1" applyNumberFormat="1" applyFont="1" applyFill="1" applyBorder="1" applyAlignment="1" applyProtection="1">
      <alignment horizontal="center" vertical="center" wrapText="1"/>
    </xf>
    <xf numFmtId="1" fontId="14" fillId="2" borderId="31" xfId="1" applyNumberFormat="1" applyFont="1" applyFill="1" applyBorder="1" applyAlignment="1" applyProtection="1">
      <alignment horizontal="center" vertical="center" wrapText="1"/>
    </xf>
    <xf numFmtId="1" fontId="14" fillId="2" borderId="32" xfId="1" applyNumberFormat="1" applyFont="1" applyFill="1" applyBorder="1" applyAlignment="1" applyProtection="1">
      <alignment horizontal="center" vertical="center" wrapText="1"/>
    </xf>
    <xf numFmtId="2" fontId="9" fillId="2" borderId="3" xfId="1" applyNumberFormat="1" applyFont="1" applyFill="1" applyBorder="1" applyAlignment="1" applyProtection="1">
      <alignment horizontal="center" vertical="center"/>
    </xf>
    <xf numFmtId="2" fontId="9" fillId="2" borderId="25" xfId="1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2" borderId="25" xfId="1" applyFont="1" applyFill="1" applyBorder="1" applyAlignment="1" applyProtection="1">
      <alignment horizontal="center" vertical="center" wrapText="1"/>
    </xf>
    <xf numFmtId="0" fontId="2" fillId="2" borderId="26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0" fontId="2" fillId="2" borderId="3" xfId="1" quotePrefix="1" applyNumberFormat="1" applyFont="1" applyFill="1" applyBorder="1" applyAlignment="1" applyProtection="1">
      <alignment horizontal="center" vertical="center" wrapText="1"/>
    </xf>
    <xf numFmtId="165" fontId="2" fillId="2" borderId="0" xfId="4" applyNumberFormat="1" applyFont="1" applyFill="1" applyAlignment="1" applyProtection="1">
      <alignment horizontal="centerContinuous"/>
    </xf>
    <xf numFmtId="165" fontId="9" fillId="2" borderId="20" xfId="4" applyNumberFormat="1" applyFont="1" applyFill="1" applyBorder="1" applyAlignment="1" applyProtection="1">
      <alignment horizontal="center" vertical="center" wrapText="1"/>
    </xf>
    <xf numFmtId="10" fontId="2" fillId="2" borderId="2" xfId="8" applyNumberFormat="1" applyFont="1" applyFill="1" applyBorder="1" applyAlignment="1" applyProtection="1">
      <alignment horizontal="center" vertical="center" wrapText="1"/>
    </xf>
    <xf numFmtId="165" fontId="2" fillId="2" borderId="23" xfId="4" applyNumberFormat="1" applyFont="1" applyFill="1" applyBorder="1" applyAlignment="1" applyProtection="1">
      <alignment horizontal="center" vertical="center" wrapText="1"/>
    </xf>
    <xf numFmtId="2" fontId="9" fillId="2" borderId="41" xfId="1" applyNumberFormat="1" applyFont="1" applyFill="1" applyBorder="1" applyAlignment="1" applyProtection="1">
      <alignment horizontal="center" vertical="center"/>
    </xf>
    <xf numFmtId="2" fontId="9" fillId="2" borderId="42" xfId="1" applyNumberFormat="1" applyFont="1" applyFill="1" applyBorder="1" applyAlignment="1" applyProtection="1">
      <alignment horizontal="center" vertical="center"/>
    </xf>
    <xf numFmtId="2" fontId="9" fillId="2" borderId="43" xfId="1" applyNumberFormat="1" applyFont="1" applyFill="1" applyBorder="1" applyAlignment="1" applyProtection="1">
      <alignment horizontal="center" vertical="center"/>
    </xf>
    <xf numFmtId="0" fontId="2" fillId="2" borderId="14" xfId="1" applyFont="1" applyFill="1" applyBorder="1" applyAlignment="1" applyProtection="1">
      <alignment horizontal="center" vertical="center"/>
    </xf>
    <xf numFmtId="10" fontId="2" fillId="2" borderId="20" xfId="8" applyNumberFormat="1" applyFont="1" applyFill="1" applyBorder="1" applyAlignment="1" applyProtection="1">
      <alignment horizontal="center" vertical="center" wrapText="1"/>
    </xf>
    <xf numFmtId="0" fontId="9" fillId="2" borderId="44" xfId="1" applyFont="1" applyFill="1" applyBorder="1" applyAlignment="1" applyProtection="1">
      <alignment horizontal="center" vertical="center" wrapText="1"/>
    </xf>
    <xf numFmtId="43" fontId="2" fillId="2" borderId="26" xfId="2" applyFont="1" applyFill="1" applyBorder="1" applyProtection="1"/>
    <xf numFmtId="43" fontId="2" fillId="2" borderId="12" xfId="2" applyFont="1" applyFill="1" applyBorder="1" applyProtection="1"/>
    <xf numFmtId="43" fontId="2" fillId="2" borderId="13" xfId="2" applyFont="1" applyFill="1" applyBorder="1" applyProtection="1"/>
    <xf numFmtId="43" fontId="2" fillId="2" borderId="25" xfId="2" applyFont="1" applyFill="1" applyBorder="1" applyProtection="1"/>
    <xf numFmtId="43" fontId="2" fillId="2" borderId="12" xfId="2" applyFont="1" applyFill="1" applyBorder="1" applyAlignment="1" applyProtection="1">
      <alignment horizontal="justify" vertical="center" wrapText="1"/>
    </xf>
    <xf numFmtId="0" fontId="2" fillId="2" borderId="26" xfId="1" applyFont="1" applyFill="1" applyBorder="1" applyAlignment="1" applyProtection="1">
      <alignment horizontal="left" vertical="center" wrapText="1"/>
    </xf>
    <xf numFmtId="0" fontId="2" fillId="2" borderId="12" xfId="1" applyFont="1" applyFill="1" applyBorder="1" applyAlignment="1" applyProtection="1">
      <alignment horizontal="left" vertical="center" wrapText="1"/>
    </xf>
    <xf numFmtId="43" fontId="2" fillId="2" borderId="25" xfId="2" applyFont="1" applyFill="1" applyBorder="1" applyAlignment="1" applyProtection="1">
      <alignment horizontal="center"/>
    </xf>
    <xf numFmtId="43" fontId="2" fillId="2" borderId="26" xfId="2" applyFont="1" applyFill="1" applyBorder="1" applyAlignment="1" applyProtection="1">
      <alignment horizontal="justify" vertical="center" wrapText="1"/>
    </xf>
    <xf numFmtId="43" fontId="2" fillId="2" borderId="12" xfId="9" applyFont="1" applyFill="1" applyBorder="1" applyProtection="1"/>
    <xf numFmtId="43" fontId="2" fillId="2" borderId="45" xfId="2" applyFont="1" applyFill="1" applyBorder="1" applyProtection="1"/>
    <xf numFmtId="0" fontId="2" fillId="2" borderId="40" xfId="1" applyFont="1" applyFill="1" applyBorder="1" applyAlignment="1" applyProtection="1">
      <alignment horizontal="center" vertical="center" wrapText="1"/>
    </xf>
  </cellXfs>
  <cellStyles count="18">
    <cellStyle name="Comma" xfId="5" builtinId="3"/>
    <cellStyle name="Comma 10" xfId="12"/>
    <cellStyle name="Comma 2" xfId="13"/>
    <cellStyle name="Comma 2 2" xfId="15"/>
    <cellStyle name="Comma 2 2 2" xfId="2"/>
    <cellStyle name="Comma 4 2" xfId="3"/>
    <cellStyle name="Comma 7 2 2" xfId="4"/>
    <cellStyle name="Comma 9" xfId="14"/>
    <cellStyle name="Normal" xfId="0" builtinId="0"/>
    <cellStyle name="Normal 14 2" xfId="1"/>
    <cellStyle name="Normal 2" xfId="10"/>
    <cellStyle name="Normal 3" xfId="11"/>
    <cellStyle name="Normal 4" xfId="16"/>
    <cellStyle name="Normal 5" xfId="17"/>
    <cellStyle name="Percent 3 2" xfId="8"/>
    <cellStyle name="Percent 5 2 2" xfId="6"/>
    <cellStyle name="Финансовый 2 2" xfId="9"/>
    <cellStyle name="Финансовый 4 2" xfId="7"/>
  </cellStyles>
  <dxfs count="20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yane/Gayane_official/save/VTB-verjnakan/VTB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sine\Varker\Metropoliten_OK\Metropoliten%202011%20ENB%205%20mln\Metropoliten%20hashvark%20EN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ira.Manrikyan\Desktop\&#1332;&#1387;%20&#1384;&#1398;&#1380;%20&#1335;&#1397;&#1403;%20&#1331;&#1408;&#1400;&#1410;&#1402;%20&#1357;&#1354;&#1336;%2010&#1396;&#1388;&#1398;%20$%20Eurobond%20&#1415;%208%20&#1396;&#1388;&#1408;&#1380;%20&#1380;&#1408;&#1377;&#1396;\D&amp;H%2010%20mln%20$%20%20&#1411;&#1400;&#1411;.%20&#1379;&#1400;&#1408;&#1390;&#1400;&#139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bligation/Share/229/Ashxatanqain/&#1355;&#1377;&#1398;&#1403;&#1400;&#1410;&#1394;&#1377;&#1382;&#1397;&#1377;&#1398;%20&#1415;%20&#1334;&#1377;&#1408;&#1379;&#1377;&#1408;&#1397;&#1377;&#1398;/Janjughazjan2023/10.31.23/31.10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2014"/>
      <sheetName val="VTB kanxatesum"/>
      <sheetName val="Report 2013,2015"/>
      <sheetName val="Sheet2"/>
      <sheetName val="VTB"/>
      <sheetName val="Report 2012"/>
      <sheetName val="Sheet1"/>
      <sheetName val="Report 2011"/>
      <sheetName val="Report 2010"/>
      <sheetName val="Report 2009"/>
      <sheetName val="Report 2008"/>
      <sheetName val="VTB hamemat"/>
      <sheetName val="VTB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shvark 03.05.11 (2)"/>
      <sheetName val="Hashvark 03.05.11"/>
      <sheetName val="Marum"/>
      <sheetName val="900005061545"/>
      <sheetName val="900005210134"/>
      <sheetName val="Pajmanagrer"/>
    </sheetNames>
    <sheetDataSet>
      <sheetData sheetId="0"/>
      <sheetData sheetId="1">
        <row r="87">
          <cell r="M87">
            <v>378598.56296241394</v>
          </cell>
          <cell r="T87">
            <v>96699.773449097236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,08,20 գործող"/>
      <sheetName val="փաստացի մարում"/>
      <sheetName val="Sheet1"/>
      <sheetName val="Հաշվարկ 10 մլն հին"/>
    </sheetNames>
    <sheetDataSet>
      <sheetData sheetId="0">
        <row r="55">
          <cell r="I55">
            <v>37945.651610226625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ունվար"/>
      <sheetName val="փետրվար"/>
      <sheetName val="մարտ"/>
      <sheetName val="ապրիլ"/>
      <sheetName val="մայիս"/>
      <sheetName val="հունիս"/>
      <sheetName val="հուլիս"/>
      <sheetName val="օգոստոս"/>
      <sheetName val="սեպտեմբեր"/>
      <sheetName val="հոկտեմբե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sqref="A1:G1"/>
    </sheetView>
  </sheetViews>
  <sheetFormatPr defaultRowHeight="15" x14ac:dyDescent="0.25"/>
  <cols>
    <col min="1" max="1" width="21.28515625" customWidth="1"/>
    <col min="2" max="2" width="33.85546875" customWidth="1"/>
    <col min="3" max="3" width="33.7109375" customWidth="1"/>
    <col min="4" max="4" width="14.42578125" customWidth="1"/>
    <col min="5" max="5" width="11.42578125" hidden="1" customWidth="1"/>
    <col min="6" max="6" width="18" hidden="1" customWidth="1"/>
    <col min="7" max="7" width="18.5703125" customWidth="1"/>
    <col min="8" max="8" width="15" customWidth="1"/>
    <col min="12" max="12" width="10.140625" bestFit="1" customWidth="1"/>
    <col min="13" max="13" width="15.42578125" bestFit="1" customWidth="1"/>
  </cols>
  <sheetData>
    <row r="1" spans="1:13" ht="81" customHeight="1" x14ac:dyDescent="0.3">
      <c r="A1" s="454" t="s">
        <v>16</v>
      </c>
      <c r="B1" s="454"/>
      <c r="C1" s="454"/>
      <c r="D1" s="454"/>
      <c r="E1" s="454"/>
      <c r="F1" s="454"/>
      <c r="G1" s="454"/>
    </row>
    <row r="2" spans="1:13" ht="81" customHeight="1" x14ac:dyDescent="0.25">
      <c r="A2" s="1" t="s">
        <v>0</v>
      </c>
      <c r="B2" s="1" t="s">
        <v>1</v>
      </c>
      <c r="C2" s="2" t="s">
        <v>2</v>
      </c>
      <c r="D2" s="2" t="s">
        <v>15</v>
      </c>
      <c r="E2" s="3" t="s">
        <v>3</v>
      </c>
      <c r="F2" s="4">
        <f>3047000000+3000000000</f>
        <v>6047000000</v>
      </c>
      <c r="G2" s="6">
        <v>6000000000</v>
      </c>
    </row>
    <row r="3" spans="1:13" ht="99.75" customHeight="1" x14ac:dyDescent="0.25">
      <c r="A3" s="1" t="s">
        <v>4</v>
      </c>
      <c r="B3" s="1" t="s">
        <v>5</v>
      </c>
      <c r="C3" s="2" t="s">
        <v>14</v>
      </c>
      <c r="D3" s="2" t="s">
        <v>6</v>
      </c>
      <c r="E3" s="3" t="s">
        <v>3</v>
      </c>
      <c r="F3" s="7">
        <f>2000000000+7300000000</f>
        <v>9300000000</v>
      </c>
      <c r="G3" s="5">
        <v>9024295000</v>
      </c>
      <c r="L3" s="9"/>
      <c r="M3" s="10"/>
    </row>
    <row r="4" spans="1:13" ht="117" customHeight="1" x14ac:dyDescent="0.25">
      <c r="A4" s="1" t="s">
        <v>4</v>
      </c>
      <c r="B4" s="1" t="s">
        <v>7</v>
      </c>
      <c r="C4" s="2" t="s">
        <v>17</v>
      </c>
      <c r="D4" s="2" t="s">
        <v>8</v>
      </c>
      <c r="E4" s="3" t="s">
        <v>3</v>
      </c>
      <c r="F4" s="7">
        <v>562500000</v>
      </c>
      <c r="G4" s="7">
        <v>562500000</v>
      </c>
      <c r="L4" s="11"/>
      <c r="M4" s="11"/>
    </row>
    <row r="5" spans="1:13" ht="78" customHeight="1" x14ac:dyDescent="0.25">
      <c r="A5" s="452" t="s">
        <v>0</v>
      </c>
      <c r="B5" s="452" t="s">
        <v>9</v>
      </c>
      <c r="C5" s="2" t="s">
        <v>10</v>
      </c>
      <c r="D5" s="2" t="s">
        <v>11</v>
      </c>
      <c r="E5" s="3" t="s">
        <v>3</v>
      </c>
      <c r="F5" s="6">
        <v>2000000000</v>
      </c>
      <c r="G5" s="6">
        <v>2000000000</v>
      </c>
    </row>
    <row r="6" spans="1:13" ht="126.75" customHeight="1" x14ac:dyDescent="0.25">
      <c r="A6" s="453"/>
      <c r="B6" s="453"/>
      <c r="C6" s="8" t="s">
        <v>12</v>
      </c>
      <c r="D6" s="8" t="s">
        <v>13</v>
      </c>
      <c r="E6" s="3" t="s">
        <v>3</v>
      </c>
      <c r="F6" s="7">
        <v>2000000000</v>
      </c>
      <c r="G6" s="7">
        <v>2000000000</v>
      </c>
    </row>
  </sheetData>
  <mergeCells count="3">
    <mergeCell ref="A5:A6"/>
    <mergeCell ref="B5:B6"/>
    <mergeCell ref="A1:G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8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:D6"/>
    </sheetView>
  </sheetViews>
  <sheetFormatPr defaultRowHeight="13.5" outlineLevelRow="1" x14ac:dyDescent="0.25"/>
  <cols>
    <col min="1" max="1" width="6.85546875" style="17" customWidth="1"/>
    <col min="2" max="2" width="23.7109375" style="33" customWidth="1"/>
    <col min="3" max="3" width="23.42578125" style="17" customWidth="1"/>
    <col min="4" max="4" width="16.140625" style="17" customWidth="1"/>
    <col min="5" max="10" width="16.140625" style="17" hidden="1" customWidth="1"/>
    <col min="11" max="11" width="18.85546875" style="160" customWidth="1"/>
    <col min="12" max="12" width="20.140625" style="17" customWidth="1"/>
    <col min="13" max="13" width="16.42578125" style="17" bestFit="1" customWidth="1"/>
    <col min="14" max="14" width="19.7109375" style="17" customWidth="1"/>
    <col min="15" max="15" width="19.7109375" style="17" hidden="1" customWidth="1"/>
    <col min="16" max="16" width="20.28515625" style="17" customWidth="1"/>
    <col min="17" max="17" width="21.7109375" style="162" customWidth="1"/>
    <col min="18" max="18" width="18.5703125" style="17" customWidth="1"/>
    <col min="19" max="19" width="18.85546875" style="17" bestFit="1" customWidth="1"/>
    <col min="20" max="20" width="26.7109375" style="17" bestFit="1" customWidth="1"/>
    <col min="21" max="21" width="25.28515625" style="30" hidden="1" customWidth="1"/>
    <col min="22" max="22" width="26.42578125" style="17" customWidth="1"/>
    <col min="23" max="23" width="44.28515625" style="16" hidden="1" customWidth="1"/>
    <col min="24" max="24" width="23.5703125" style="16" customWidth="1"/>
    <col min="25" max="25" width="21.85546875" style="17" customWidth="1"/>
    <col min="26" max="16384" width="9.140625" style="17"/>
  </cols>
  <sheetData>
    <row r="1" spans="1:25" ht="22.5" x14ac:dyDescent="0.4">
      <c r="A1" s="544" t="s">
        <v>18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</row>
    <row r="2" spans="1:25" ht="49.5" customHeight="1" x14ac:dyDescent="0.4">
      <c r="A2" s="545" t="s">
        <v>477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</row>
    <row r="3" spans="1:25" ht="14.25" thickBot="1" x14ac:dyDescent="0.3">
      <c r="A3" s="18"/>
      <c r="C3" s="18"/>
      <c r="D3" s="18"/>
      <c r="E3" s="18"/>
      <c r="F3" s="18"/>
      <c r="G3" s="18"/>
      <c r="H3" s="18"/>
      <c r="I3" s="18"/>
      <c r="J3" s="18"/>
      <c r="K3" s="34"/>
      <c r="L3" s="18"/>
      <c r="M3" s="18"/>
      <c r="N3" s="18"/>
      <c r="O3" s="18"/>
      <c r="P3" s="18"/>
      <c r="Q3" s="35"/>
      <c r="R3" s="18"/>
      <c r="S3" s="18"/>
      <c r="T3" s="18"/>
      <c r="U3" s="641"/>
      <c r="V3" s="18"/>
    </row>
    <row r="4" spans="1:25" s="13" customFormat="1" ht="114" customHeight="1" thickBot="1" x14ac:dyDescent="0.3">
      <c r="A4" s="36" t="s">
        <v>19</v>
      </c>
      <c r="B4" s="37" t="s">
        <v>20</v>
      </c>
      <c r="C4" s="37" t="s">
        <v>21</v>
      </c>
      <c r="D4" s="37" t="s">
        <v>22</v>
      </c>
      <c r="E4" s="38" t="s">
        <v>23</v>
      </c>
      <c r="F4" s="37" t="s">
        <v>457</v>
      </c>
      <c r="G4" s="37" t="s">
        <v>458</v>
      </c>
      <c r="H4" s="37" t="s">
        <v>459</v>
      </c>
      <c r="I4" s="37" t="s">
        <v>460</v>
      </c>
      <c r="J4" s="37" t="s">
        <v>461</v>
      </c>
      <c r="K4" s="37" t="s">
        <v>314</v>
      </c>
      <c r="L4" s="37" t="s">
        <v>306</v>
      </c>
      <c r="M4" s="37" t="s">
        <v>23</v>
      </c>
      <c r="N4" s="37" t="s">
        <v>24</v>
      </c>
      <c r="O4" s="37" t="s">
        <v>478</v>
      </c>
      <c r="P4" s="37" t="s">
        <v>25</v>
      </c>
      <c r="Q4" s="39" t="s">
        <v>26</v>
      </c>
      <c r="R4" s="37" t="s">
        <v>27</v>
      </c>
      <c r="S4" s="37" t="s">
        <v>28</v>
      </c>
      <c r="T4" s="37" t="s">
        <v>29</v>
      </c>
      <c r="U4" s="642" t="s">
        <v>479</v>
      </c>
      <c r="V4" s="40" t="s">
        <v>30</v>
      </c>
      <c r="W4" s="650" t="s">
        <v>480</v>
      </c>
      <c r="X4" s="12"/>
    </row>
    <row r="5" spans="1:25" ht="60" customHeight="1" outlineLevel="1" x14ac:dyDescent="0.25">
      <c r="A5" s="546">
        <v>1</v>
      </c>
      <c r="B5" s="548" t="s">
        <v>31</v>
      </c>
      <c r="C5" s="41" t="s">
        <v>32</v>
      </c>
      <c r="D5" s="550" t="s">
        <v>33</v>
      </c>
      <c r="E5" s="550" t="s">
        <v>35</v>
      </c>
      <c r="F5" s="42">
        <v>7300000</v>
      </c>
      <c r="G5" s="42">
        <v>5822389.5</v>
      </c>
      <c r="H5" s="43">
        <v>7.4999999999999997E-3</v>
      </c>
      <c r="I5" s="416"/>
      <c r="J5" s="447">
        <f t="shared" ref="J5:J15" si="0">G5-I5</f>
        <v>5822389.5</v>
      </c>
      <c r="K5" s="552" t="s">
        <v>315</v>
      </c>
      <c r="L5" s="419" t="s">
        <v>34</v>
      </c>
      <c r="M5" s="47" t="s">
        <v>35</v>
      </c>
      <c r="N5" s="431">
        <v>7300000</v>
      </c>
      <c r="O5" s="431">
        <f t="shared" ref="O5:O21" si="1">IF(M5=$B$145,N5,IF(M5=$B$147,N5*$C$147/$C$145,IF(M5=$B$146,N5*$C$146/$C$145,IF(M5=$B$144,N5/$C$145))))</f>
        <v>7721202.7047183411</v>
      </c>
      <c r="P5" s="49">
        <f>5822389.5+13412.1+4470.7+716451.75+24588.85+716451.75+2235.35</f>
        <v>7299999.9999999991</v>
      </c>
      <c r="Q5" s="43" t="s">
        <v>36</v>
      </c>
      <c r="R5" s="49">
        <f>595000+119000+119000+119000+119000</f>
        <v>1071000</v>
      </c>
      <c r="S5" s="49">
        <v>628729.69999999995</v>
      </c>
      <c r="T5" s="431">
        <f t="shared" ref="T5:T33" si="2">P5-R5</f>
        <v>6228999.9999999991</v>
      </c>
      <c r="U5" s="431">
        <f>IF(M5=$B$145,T5,IF(M5=$B$147,T5*$C$147/$C$145,IF(M5=$B$146,T5*$C$146/$C$145,IF(M5=$B$144,T5/$C$145))))</f>
        <v>6588407.0750261024</v>
      </c>
      <c r="V5" s="414" t="s">
        <v>37</v>
      </c>
      <c r="W5" s="651"/>
      <c r="Y5" s="16"/>
    </row>
    <row r="6" spans="1:25" ht="75.75" customHeight="1" outlineLevel="1" x14ac:dyDescent="0.25">
      <c r="A6" s="547"/>
      <c r="B6" s="549"/>
      <c r="C6" s="51" t="s">
        <v>38</v>
      </c>
      <c r="D6" s="551"/>
      <c r="E6" s="551"/>
      <c r="F6" s="52">
        <v>7300000</v>
      </c>
      <c r="G6" s="52">
        <v>7300000</v>
      </c>
      <c r="H6" s="441" t="s">
        <v>40</v>
      </c>
      <c r="I6" s="440"/>
      <c r="J6" s="436">
        <f t="shared" si="0"/>
        <v>7300000</v>
      </c>
      <c r="K6" s="553"/>
      <c r="L6" s="439" t="s">
        <v>39</v>
      </c>
      <c r="M6" s="435" t="s">
        <v>35</v>
      </c>
      <c r="N6" s="49">
        <v>7300000</v>
      </c>
      <c r="O6" s="49">
        <f t="shared" si="1"/>
        <v>7721202.7047183411</v>
      </c>
      <c r="P6" s="49">
        <v>7299999.9999999981</v>
      </c>
      <c r="Q6" s="441" t="s">
        <v>40</v>
      </c>
      <c r="R6" s="49">
        <f>5474999.9+304166.7+304166.7+304166.7+304166.7</f>
        <v>6691666.7000000011</v>
      </c>
      <c r="S6" s="49">
        <v>1226756</v>
      </c>
      <c r="T6" s="49">
        <f t="shared" si="2"/>
        <v>608333.29999999702</v>
      </c>
      <c r="U6" s="49">
        <f>IF(M6=$B$145,T6,IF(M6=$B$147,T6*$C$147/$C$145,IF(M6=$B$146,T6*$C$146/$C$145,IF(M6=$B$144,T6/$C$145))))</f>
        <v>643433.52346989198</v>
      </c>
      <c r="V6" s="58" t="s">
        <v>41</v>
      </c>
      <c r="W6" s="652"/>
      <c r="Y6" s="16"/>
    </row>
    <row r="7" spans="1:25" ht="64.5" customHeight="1" outlineLevel="1" x14ac:dyDescent="0.25">
      <c r="A7" s="433">
        <v>2</v>
      </c>
      <c r="B7" s="434" t="s">
        <v>31</v>
      </c>
      <c r="C7" s="434" t="s">
        <v>42</v>
      </c>
      <c r="D7" s="439" t="s">
        <v>33</v>
      </c>
      <c r="E7" s="435" t="s">
        <v>35</v>
      </c>
      <c r="F7" s="52">
        <v>14060527</v>
      </c>
      <c r="G7" s="52">
        <v>14060527</v>
      </c>
      <c r="H7" s="60">
        <v>7.4999999999999997E-3</v>
      </c>
      <c r="I7" s="52">
        <v>3044232</v>
      </c>
      <c r="J7" s="436">
        <f t="shared" si="0"/>
        <v>11016295</v>
      </c>
      <c r="K7" s="438" t="s">
        <v>316</v>
      </c>
      <c r="L7" s="439" t="s">
        <v>43</v>
      </c>
      <c r="M7" s="435" t="s">
        <v>35</v>
      </c>
      <c r="N7" s="49">
        <v>14060526.73</v>
      </c>
      <c r="O7" s="49">
        <f t="shared" si="1"/>
        <v>14871805.070882268</v>
      </c>
      <c r="P7" s="49">
        <v>14060526.73</v>
      </c>
      <c r="Q7" s="60">
        <v>7.4999999999999997E-3</v>
      </c>
      <c r="R7" s="49">
        <f>5858552.73979552+234342.1+234342.1+98055764.9/418.43+98932204.4/422.17</f>
        <v>6795921.1398902042</v>
      </c>
      <c r="S7" s="49">
        <f>1294472.69934396+40254.3+39195.3+16095956/418.43+15796672.6/422.17</f>
        <v>1449807.5992226265</v>
      </c>
      <c r="T7" s="49">
        <f t="shared" si="2"/>
        <v>7264605.5901097963</v>
      </c>
      <c r="U7" s="49">
        <f>IF(M7=$B$145,T7,IF(M7=$B$147,T7*$C$147/$C$145,IF(M7=$B$146,T7*$C$146/$C$145,IF(M7=$B$144,T7/$C$145))))</f>
        <v>7683766.0727490056</v>
      </c>
      <c r="V7" s="58" t="s">
        <v>37</v>
      </c>
      <c r="W7" s="652"/>
      <c r="Y7" s="16"/>
    </row>
    <row r="8" spans="1:25" ht="67.5" outlineLevel="1" x14ac:dyDescent="0.25">
      <c r="A8" s="433">
        <v>3</v>
      </c>
      <c r="B8" s="434" t="s">
        <v>31</v>
      </c>
      <c r="C8" s="434" t="s">
        <v>44</v>
      </c>
      <c r="D8" s="439" t="s">
        <v>33</v>
      </c>
      <c r="E8" s="435" t="s">
        <v>35</v>
      </c>
      <c r="F8" s="52">
        <v>75000000</v>
      </c>
      <c r="G8" s="52">
        <v>0</v>
      </c>
      <c r="H8" s="60">
        <v>1.8499999999999999E-2</v>
      </c>
      <c r="I8" s="440"/>
      <c r="J8" s="436">
        <f t="shared" si="0"/>
        <v>0</v>
      </c>
      <c r="K8" s="438" t="s">
        <v>317</v>
      </c>
      <c r="L8" s="439" t="s">
        <v>45</v>
      </c>
      <c r="M8" s="435" t="s">
        <v>35</v>
      </c>
      <c r="N8" s="49">
        <v>75000000</v>
      </c>
      <c r="O8" s="49">
        <f t="shared" si="1"/>
        <v>79327425.048476115</v>
      </c>
      <c r="P8" s="49"/>
      <c r="Q8" s="60" t="s">
        <v>46</v>
      </c>
      <c r="R8" s="49"/>
      <c r="S8" s="49">
        <f>1932812.5+93750+93750+93750+93750</f>
        <v>2307812.5</v>
      </c>
      <c r="T8" s="49">
        <f t="shared" si="2"/>
        <v>0</v>
      </c>
      <c r="U8" s="49">
        <f>IF(M8=$B$145,T8,IF(M8=$B$147,T8*$C$147/$C$145,IF(M8=$B$146,T8*$C$146/$C$145,IF(M8=$B$144,T8/$C$145))))</f>
        <v>0</v>
      </c>
      <c r="V8" s="58" t="s">
        <v>41</v>
      </c>
      <c r="W8" s="652"/>
      <c r="Y8" s="16"/>
    </row>
    <row r="9" spans="1:25" ht="57.75" customHeight="1" outlineLevel="1" x14ac:dyDescent="0.25">
      <c r="A9" s="556">
        <v>4</v>
      </c>
      <c r="B9" s="557" t="s">
        <v>31</v>
      </c>
      <c r="C9" s="557" t="s">
        <v>44</v>
      </c>
      <c r="D9" s="439" t="s">
        <v>33</v>
      </c>
      <c r="E9" s="435" t="s">
        <v>35</v>
      </c>
      <c r="F9" s="52">
        <v>10200000</v>
      </c>
      <c r="G9" s="52">
        <v>0</v>
      </c>
      <c r="H9" s="60">
        <v>7.4999999999999997E-3</v>
      </c>
      <c r="I9" s="441"/>
      <c r="J9" s="436">
        <f t="shared" si="0"/>
        <v>0</v>
      </c>
      <c r="K9" s="558" t="s">
        <v>317</v>
      </c>
      <c r="L9" s="559" t="s">
        <v>47</v>
      </c>
      <c r="M9" s="435" t="s">
        <v>35</v>
      </c>
      <c r="N9" s="49">
        <v>10200000</v>
      </c>
      <c r="O9" s="49">
        <f t="shared" si="1"/>
        <v>10788529.806592751</v>
      </c>
      <c r="P9" s="49">
        <f>1075381.69+59500</f>
        <v>1134881.69</v>
      </c>
      <c r="Q9" s="560" t="s">
        <v>36</v>
      </c>
      <c r="R9" s="49">
        <v>0</v>
      </c>
      <c r="S9" s="49">
        <f>200690.672577969+15587.2+6522152.1/418.43+6580448.3/422.17</f>
        <v>247452.27276755084</v>
      </c>
      <c r="T9" s="49">
        <f>P9-R9</f>
        <v>1134881.69</v>
      </c>
      <c r="U9" s="49">
        <f>IF(M9=$B$145,T9,IF(M9=$B$147,T9*$C$147/$C$145,IF(M9=$B$146,T9*$C$146/$C$145,IF(M9=$B$144,T9/$C$145))))</f>
        <v>1200363.2293648387</v>
      </c>
      <c r="V9" s="554" t="s">
        <v>41</v>
      </c>
      <c r="W9" s="652"/>
      <c r="Y9" s="16"/>
    </row>
    <row r="10" spans="1:25" ht="57.75" customHeight="1" outlineLevel="1" x14ac:dyDescent="0.25">
      <c r="A10" s="546"/>
      <c r="B10" s="549"/>
      <c r="C10" s="549"/>
      <c r="D10" s="439"/>
      <c r="E10" s="435"/>
      <c r="F10" s="52"/>
      <c r="G10" s="52"/>
      <c r="H10" s="60"/>
      <c r="I10" s="441"/>
      <c r="J10" s="436"/>
      <c r="K10" s="552"/>
      <c r="L10" s="550"/>
      <c r="M10" s="435" t="s">
        <v>3</v>
      </c>
      <c r="N10" s="49"/>
      <c r="O10" s="49">
        <f t="shared" si="1"/>
        <v>0</v>
      </c>
      <c r="P10" s="49">
        <v>244081445</v>
      </c>
      <c r="Q10" s="561"/>
      <c r="R10" s="49"/>
      <c r="S10" s="49">
        <f>9774294.3+915305.4+915305.4</f>
        <v>11604905.100000001</v>
      </c>
      <c r="T10" s="49">
        <f>P10-R10</f>
        <v>244081445</v>
      </c>
      <c r="U10" s="49">
        <f>IF(M10=$B$145,T10,IF(M10=$B$147,T10*$C$147/$C$145,IF(M10=$B$146,T10*$C$146/$C$145,IF(M10=$B$144,T10/$C$145))))</f>
        <v>606775.33187490678</v>
      </c>
      <c r="V10" s="555"/>
      <c r="W10" s="652"/>
      <c r="Y10" s="16"/>
    </row>
    <row r="11" spans="1:25" ht="76.5" customHeight="1" outlineLevel="1" x14ac:dyDescent="0.25">
      <c r="A11" s="556">
        <v>5</v>
      </c>
      <c r="B11" s="557" t="s">
        <v>31</v>
      </c>
      <c r="C11" s="557" t="s">
        <v>48</v>
      </c>
      <c r="D11" s="439"/>
      <c r="E11" s="435"/>
      <c r="F11" s="52"/>
      <c r="G11" s="52"/>
      <c r="H11" s="60"/>
      <c r="I11" s="441"/>
      <c r="J11" s="436"/>
      <c r="K11" s="558" t="s">
        <v>318</v>
      </c>
      <c r="L11" s="559" t="s">
        <v>49</v>
      </c>
      <c r="M11" s="435" t="s">
        <v>35</v>
      </c>
      <c r="N11" s="49">
        <v>10000000</v>
      </c>
      <c r="O11" s="49">
        <f t="shared" si="1"/>
        <v>10576990.006463483</v>
      </c>
      <c r="P11" s="49"/>
      <c r="Q11" s="560" t="s">
        <v>50</v>
      </c>
      <c r="R11" s="49"/>
      <c r="S11" s="49">
        <v>50000</v>
      </c>
      <c r="T11" s="49">
        <f>P11-R11</f>
        <v>0</v>
      </c>
      <c r="U11" s="49">
        <f>IF(M11=$B$145,T11,IF(M11=$B$147,T11*$C$147/$C$145,IF(M11=$B$146,T11*$C$146/$C$145,IF(M11=$B$144,T11/$C$145))))</f>
        <v>0</v>
      </c>
      <c r="V11" s="554" t="s">
        <v>51</v>
      </c>
      <c r="W11" s="652"/>
      <c r="Y11" s="16"/>
    </row>
    <row r="12" spans="1:25" ht="76.5" customHeight="1" outlineLevel="1" x14ac:dyDescent="0.25">
      <c r="A12" s="546"/>
      <c r="B12" s="549"/>
      <c r="C12" s="549"/>
      <c r="D12" s="439"/>
      <c r="E12" s="435"/>
      <c r="F12" s="52"/>
      <c r="G12" s="52"/>
      <c r="H12" s="60"/>
      <c r="I12" s="441"/>
      <c r="J12" s="436"/>
      <c r="K12" s="552"/>
      <c r="L12" s="550"/>
      <c r="M12" s="439" t="s">
        <v>3</v>
      </c>
      <c r="N12" s="49"/>
      <c r="O12" s="49">
        <f t="shared" si="1"/>
        <v>0</v>
      </c>
      <c r="P12" s="49"/>
      <c r="Q12" s="561"/>
      <c r="R12" s="49"/>
      <c r="S12" s="49"/>
      <c r="T12" s="49">
        <f t="shared" si="2"/>
        <v>0</v>
      </c>
      <c r="U12" s="49">
        <f>IF(M12=$B$145,T12,IF(M12=$B$147,T12*$C$147/$C$145,IF(M12=$B$146,T12*$C$146/$C$145,IF(M12=$B$144,T12/$C$145))))</f>
        <v>0</v>
      </c>
      <c r="V12" s="555"/>
      <c r="W12" s="652"/>
      <c r="Y12" s="16"/>
    </row>
    <row r="13" spans="1:25" ht="76.5" customHeight="1" outlineLevel="1" x14ac:dyDescent="0.25">
      <c r="A13" s="556">
        <v>6</v>
      </c>
      <c r="B13" s="557" t="s">
        <v>31</v>
      </c>
      <c r="C13" s="557" t="s">
        <v>52</v>
      </c>
      <c r="D13" s="439"/>
      <c r="E13" s="435"/>
      <c r="F13" s="52"/>
      <c r="G13" s="52"/>
      <c r="H13" s="60"/>
      <c r="I13" s="441"/>
      <c r="J13" s="436"/>
      <c r="K13" s="558" t="s">
        <v>319</v>
      </c>
      <c r="L13" s="559" t="s">
        <v>53</v>
      </c>
      <c r="M13" s="435" t="s">
        <v>35</v>
      </c>
      <c r="N13" s="49">
        <v>83000000</v>
      </c>
      <c r="O13" s="49">
        <f t="shared" si="1"/>
        <v>87789017.053646892</v>
      </c>
      <c r="P13" s="49"/>
      <c r="Q13" s="560">
        <v>1.7999999999999999E-2</v>
      </c>
      <c r="R13" s="49"/>
      <c r="S13" s="49">
        <f>1930326.40003794+103750+103750+103750+103750</f>
        <v>2345326.4000379397</v>
      </c>
      <c r="T13" s="49">
        <f t="shared" si="2"/>
        <v>0</v>
      </c>
      <c r="U13" s="49">
        <f>IF(M13=$B$145,T13,IF(M13=$B$147,T13*$C$147/$C$145,IF(M13=$B$146,T13*$C$146/$C$145,IF(M13=$B$144,T13/$C$145))))</f>
        <v>0</v>
      </c>
      <c r="V13" s="554" t="s">
        <v>41</v>
      </c>
      <c r="W13" s="652"/>
      <c r="Y13" s="16"/>
    </row>
    <row r="14" spans="1:25" ht="76.5" customHeight="1" outlineLevel="1" x14ac:dyDescent="0.25">
      <c r="A14" s="546"/>
      <c r="B14" s="549"/>
      <c r="C14" s="549"/>
      <c r="D14" s="439"/>
      <c r="E14" s="435"/>
      <c r="F14" s="52"/>
      <c r="G14" s="52"/>
      <c r="H14" s="60"/>
      <c r="I14" s="441"/>
      <c r="J14" s="436"/>
      <c r="K14" s="552"/>
      <c r="L14" s="550"/>
      <c r="M14" s="439" t="s">
        <v>3</v>
      </c>
      <c r="N14" s="49"/>
      <c r="O14" s="49">
        <f t="shared" si="1"/>
        <v>0</v>
      </c>
      <c r="P14" s="49"/>
      <c r="Q14" s="561"/>
      <c r="R14" s="49"/>
      <c r="S14" s="49"/>
      <c r="T14" s="49">
        <f t="shared" si="2"/>
        <v>0</v>
      </c>
      <c r="U14" s="49">
        <f>IF(M14=$B$145,T14,IF(M14=$B$147,T14*$C$147/$C$145,IF(M14=$B$146,T14*$C$146/$C$145,IF(M14=$B$144,T14/$C$145))))</f>
        <v>0</v>
      </c>
      <c r="V14" s="555"/>
      <c r="W14" s="652"/>
      <c r="X14" s="19"/>
      <c r="Y14" s="16"/>
    </row>
    <row r="15" spans="1:25" ht="96.75" customHeight="1" outlineLevel="1" x14ac:dyDescent="0.25">
      <c r="A15" s="547">
        <v>7</v>
      </c>
      <c r="B15" s="557" t="s">
        <v>31</v>
      </c>
      <c r="C15" s="557" t="s">
        <v>54</v>
      </c>
      <c r="D15" s="551" t="s">
        <v>55</v>
      </c>
      <c r="E15" s="563" t="s">
        <v>57</v>
      </c>
      <c r="F15" s="564">
        <v>39000000</v>
      </c>
      <c r="G15" s="564">
        <f>18026903.76+130476.4+43674.47+204502+159552.28+20280.3+101559+88268.89+153855.7+63854.08</f>
        <v>18992926.879999999</v>
      </c>
      <c r="H15" s="563" t="s">
        <v>462</v>
      </c>
      <c r="I15" s="562"/>
      <c r="J15" s="562">
        <f t="shared" si="0"/>
        <v>18992926.879999999</v>
      </c>
      <c r="K15" s="553" t="s">
        <v>320</v>
      </c>
      <c r="L15" s="551" t="s">
        <v>56</v>
      </c>
      <c r="M15" s="435" t="s">
        <v>57</v>
      </c>
      <c r="N15" s="49">
        <f>35500000-1434414.8</f>
        <v>34065585.200000003</v>
      </c>
      <c r="O15" s="49">
        <f t="shared" si="1"/>
        <v>34065585.200000003</v>
      </c>
      <c r="P15" s="49">
        <v>34065585.200000003</v>
      </c>
      <c r="Q15" s="563" t="s">
        <v>387</v>
      </c>
      <c r="R15" s="49">
        <f>3406558.5+438685248.4/386.33</f>
        <v>4542077.9999094037</v>
      </c>
      <c r="S15" s="49">
        <f>6927866.15+372600334/386.33</f>
        <v>7892327.4499249347</v>
      </c>
      <c r="T15" s="49">
        <f t="shared" si="2"/>
        <v>29523507.200090598</v>
      </c>
      <c r="U15" s="49">
        <f>IF(M15=$B$145,T15,IF(M15=$B$147,T15*$C$147/$C$145,IF(M15=$B$146,T15*$C$146/$C$145,IF(M15=$B$144,T15/$C$145))))</f>
        <v>29523507.200090598</v>
      </c>
      <c r="V15" s="554" t="s">
        <v>58</v>
      </c>
      <c r="W15" s="637" t="s">
        <v>481</v>
      </c>
      <c r="X15" s="19"/>
      <c r="Y15" s="16"/>
    </row>
    <row r="16" spans="1:25" ht="68.25" customHeight="1" outlineLevel="1" x14ac:dyDescent="0.25">
      <c r="A16" s="547"/>
      <c r="B16" s="549"/>
      <c r="C16" s="549"/>
      <c r="D16" s="551"/>
      <c r="E16" s="563"/>
      <c r="F16" s="564"/>
      <c r="G16" s="564"/>
      <c r="H16" s="563"/>
      <c r="I16" s="562"/>
      <c r="J16" s="562"/>
      <c r="K16" s="553"/>
      <c r="L16" s="551"/>
      <c r="M16" s="439" t="s">
        <v>3</v>
      </c>
      <c r="N16" s="49"/>
      <c r="O16" s="49">
        <f t="shared" si="1"/>
        <v>0</v>
      </c>
      <c r="P16" s="49">
        <v>3680136115.8000002</v>
      </c>
      <c r="Q16" s="563"/>
      <c r="R16" s="49">
        <f>387003402.1+121967878.3</f>
        <v>508971280.40000004</v>
      </c>
      <c r="S16" s="49">
        <f>743758864.24+103594252.5</f>
        <v>847353116.74000001</v>
      </c>
      <c r="T16" s="49">
        <f t="shared" si="2"/>
        <v>3171164835.4000001</v>
      </c>
      <c r="U16" s="49">
        <f>IF(M16=$B$145,T16,IF(M16=$B$147,T16*$C$147/$C$145,IF(M16=$B$146,T16*$C$146/$C$145,IF(M16=$B$144,T16/$C$145))))</f>
        <v>7883371.0421120673</v>
      </c>
      <c r="V16" s="555"/>
      <c r="W16" s="638"/>
      <c r="X16" s="19"/>
      <c r="Y16" s="16"/>
    </row>
    <row r="17" spans="1:24" s="16" customFormat="1" ht="81" customHeight="1" outlineLevel="1" x14ac:dyDescent="0.25">
      <c r="A17" s="556">
        <v>8</v>
      </c>
      <c r="B17" s="557" t="s">
        <v>31</v>
      </c>
      <c r="C17" s="557" t="s">
        <v>59</v>
      </c>
      <c r="D17" s="559" t="s">
        <v>55</v>
      </c>
      <c r="E17" s="441" t="s">
        <v>57</v>
      </c>
      <c r="F17" s="52">
        <v>40000000</v>
      </c>
      <c r="G17" s="436">
        <v>100000</v>
      </c>
      <c r="H17" s="441" t="s">
        <v>462</v>
      </c>
      <c r="I17" s="436">
        <v>0</v>
      </c>
      <c r="J17" s="436">
        <f>G17-I17</f>
        <v>100000</v>
      </c>
      <c r="K17" s="558" t="s">
        <v>321</v>
      </c>
      <c r="L17" s="558" t="s">
        <v>60</v>
      </c>
      <c r="M17" s="435" t="s">
        <v>57</v>
      </c>
      <c r="N17" s="52">
        <f>40000000-2500000-1500000</f>
        <v>36000000</v>
      </c>
      <c r="O17" s="49">
        <f t="shared" si="1"/>
        <v>36000000</v>
      </c>
      <c r="P17" s="49">
        <v>23800757.16</v>
      </c>
      <c r="Q17" s="60" t="s">
        <v>387</v>
      </c>
      <c r="R17" s="49">
        <v>0</v>
      </c>
      <c r="S17" s="49">
        <v>4091306.4512348948</v>
      </c>
      <c r="T17" s="49">
        <f t="shared" si="2"/>
        <v>23800757.16</v>
      </c>
      <c r="U17" s="49">
        <f>IF(M17=$B$145,T17,IF(M17=$B$147,T17*$C$147/$C$145,IF(M17=$B$146,T17*$C$146/$C$145,IF(M17=$B$144,T17/$C$145))))</f>
        <v>23800757.16</v>
      </c>
      <c r="V17" s="554" t="s">
        <v>58</v>
      </c>
      <c r="W17" s="637" t="s">
        <v>482</v>
      </c>
      <c r="X17" s="19"/>
    </row>
    <row r="18" spans="1:24" s="16" customFormat="1" ht="39.75" customHeight="1" outlineLevel="1" x14ac:dyDescent="0.25">
      <c r="A18" s="546"/>
      <c r="B18" s="549"/>
      <c r="C18" s="549"/>
      <c r="D18" s="550"/>
      <c r="E18" s="441"/>
      <c r="F18" s="52"/>
      <c r="G18" s="436"/>
      <c r="H18" s="441"/>
      <c r="I18" s="436"/>
      <c r="J18" s="436"/>
      <c r="K18" s="552"/>
      <c r="L18" s="552"/>
      <c r="M18" s="439" t="s">
        <v>3</v>
      </c>
      <c r="N18" s="52"/>
      <c r="O18" s="49">
        <f t="shared" si="1"/>
        <v>0</v>
      </c>
      <c r="P18" s="49">
        <v>1014345134.8000001</v>
      </c>
      <c r="Q18" s="60"/>
      <c r="R18" s="49">
        <v>563212.19999999995</v>
      </c>
      <c r="S18" s="49">
        <v>165583419.29999998</v>
      </c>
      <c r="T18" s="49">
        <f t="shared" si="2"/>
        <v>1013781922.6</v>
      </c>
      <c r="U18" s="49">
        <f>IF(M18=$B$145,T18,IF(M18=$B$147,T18*$C$147/$C$145,IF(M18=$B$146,T18*$C$146/$C$145,IF(M18=$B$144,T18/$C$145))))</f>
        <v>2520215.5884253965</v>
      </c>
      <c r="V18" s="555"/>
      <c r="W18" s="638"/>
      <c r="X18" s="19"/>
    </row>
    <row r="19" spans="1:24" s="16" customFormat="1" ht="70.5" customHeight="1" outlineLevel="1" x14ac:dyDescent="0.25">
      <c r="A19" s="556">
        <v>9</v>
      </c>
      <c r="B19" s="565" t="s">
        <v>31</v>
      </c>
      <c r="C19" s="557" t="s">
        <v>61</v>
      </c>
      <c r="D19" s="559" t="s">
        <v>55</v>
      </c>
      <c r="E19" s="563" t="s">
        <v>57</v>
      </c>
      <c r="F19" s="564">
        <v>52000000</v>
      </c>
      <c r="G19" s="562">
        <v>130000</v>
      </c>
      <c r="H19" s="563" t="s">
        <v>462</v>
      </c>
      <c r="I19" s="562"/>
      <c r="J19" s="562">
        <f>G19-I19</f>
        <v>130000</v>
      </c>
      <c r="K19" s="558" t="s">
        <v>322</v>
      </c>
      <c r="L19" s="558" t="s">
        <v>62</v>
      </c>
      <c r="M19" s="435" t="s">
        <v>57</v>
      </c>
      <c r="N19" s="52">
        <v>23194486</v>
      </c>
      <c r="O19" s="49">
        <f t="shared" si="1"/>
        <v>23194486</v>
      </c>
      <c r="P19" s="49">
        <v>11144186.780000001</v>
      </c>
      <c r="Q19" s="560" t="s">
        <v>387</v>
      </c>
      <c r="R19" s="49">
        <v>0</v>
      </c>
      <c r="S19" s="49">
        <f>1316813.632+122778919.2/386.33</f>
        <v>1634622.032072477</v>
      </c>
      <c r="T19" s="49">
        <f t="shared" si="2"/>
        <v>11144186.780000001</v>
      </c>
      <c r="U19" s="49">
        <f>IF(M19=$B$145,T19,IF(M19=$B$147,T19*$C$147/$C$145,IF(M19=$B$146,T19*$C$146/$C$145,IF(M19=$B$144,T19/$C$145))))</f>
        <v>11144186.780000001</v>
      </c>
      <c r="V19" s="554" t="s">
        <v>58</v>
      </c>
      <c r="W19" s="637" t="s">
        <v>483</v>
      </c>
      <c r="X19" s="19"/>
    </row>
    <row r="20" spans="1:24" s="16" customFormat="1" ht="54.75" customHeight="1" outlineLevel="1" x14ac:dyDescent="0.25">
      <c r="A20" s="546"/>
      <c r="B20" s="566"/>
      <c r="C20" s="567"/>
      <c r="D20" s="568"/>
      <c r="E20" s="563"/>
      <c r="F20" s="564"/>
      <c r="G20" s="562"/>
      <c r="H20" s="563"/>
      <c r="I20" s="562"/>
      <c r="J20" s="562"/>
      <c r="K20" s="552"/>
      <c r="L20" s="552"/>
      <c r="M20" s="439" t="s">
        <v>3</v>
      </c>
      <c r="N20" s="52"/>
      <c r="O20" s="49">
        <f t="shared" si="1"/>
        <v>0</v>
      </c>
      <c r="P20" s="49">
        <v>1416854593.3</v>
      </c>
      <c r="Q20" s="569"/>
      <c r="R20" s="49">
        <v>91463799.799999997</v>
      </c>
      <c r="S20" s="49">
        <f>119885553.7+36155098.5</f>
        <v>156040652.19999999</v>
      </c>
      <c r="T20" s="49">
        <f t="shared" si="2"/>
        <v>1325390793.5</v>
      </c>
      <c r="U20" s="49">
        <f>IF(M20=$B$145,T20,IF(M20=$B$147,T20*$C$147/$C$145,IF(M20=$B$146,T20*$C$146/$C$145,IF(M20=$B$144,T20/$C$145))))</f>
        <v>3294861.0189926913</v>
      </c>
      <c r="V20" s="555"/>
      <c r="W20" s="638"/>
      <c r="X20" s="19"/>
    </row>
    <row r="21" spans="1:24" s="16" customFormat="1" ht="60" customHeight="1" outlineLevel="1" x14ac:dyDescent="0.25">
      <c r="A21" s="556">
        <v>10</v>
      </c>
      <c r="B21" s="565" t="s">
        <v>63</v>
      </c>
      <c r="C21" s="567"/>
      <c r="D21" s="568"/>
      <c r="E21" s="563"/>
      <c r="F21" s="564"/>
      <c r="G21" s="562"/>
      <c r="H21" s="563"/>
      <c r="I21" s="562"/>
      <c r="J21" s="562"/>
      <c r="K21" s="558" t="s">
        <v>323</v>
      </c>
      <c r="L21" s="558" t="s">
        <v>62</v>
      </c>
      <c r="M21" s="435" t="s">
        <v>57</v>
      </c>
      <c r="N21" s="49">
        <v>16662617.070000002</v>
      </c>
      <c r="O21" s="49">
        <f t="shared" si="1"/>
        <v>16662617.070000002</v>
      </c>
      <c r="P21" s="49">
        <v>16662617.070000002</v>
      </c>
      <c r="Q21" s="569"/>
      <c r="R21" s="49"/>
      <c r="S21" s="49">
        <f>2194958+182027405/386.38</f>
        <v>2666067.8012319477</v>
      </c>
      <c r="T21" s="49">
        <f t="shared" si="2"/>
        <v>16662617.070000002</v>
      </c>
      <c r="U21" s="49">
        <f>IF(M21=$B$145,T21,IF(M21=$B$147,T21*$C$147/$C$145,IF(M21=$B$146,T21*$C$146/$C$145,IF(M21=$B$144,T21/$C$145))))</f>
        <v>16662617.070000002</v>
      </c>
      <c r="V21" s="554" t="s">
        <v>58</v>
      </c>
      <c r="W21" s="637" t="s">
        <v>484</v>
      </c>
      <c r="X21" s="19"/>
    </row>
    <row r="22" spans="1:24" s="16" customFormat="1" ht="40.5" customHeight="1" outlineLevel="1" x14ac:dyDescent="0.25">
      <c r="A22" s="546"/>
      <c r="B22" s="566"/>
      <c r="C22" s="549"/>
      <c r="D22" s="550"/>
      <c r="E22" s="448"/>
      <c r="F22" s="451"/>
      <c r="G22" s="445"/>
      <c r="H22" s="448"/>
      <c r="I22" s="445"/>
      <c r="J22" s="445"/>
      <c r="K22" s="552"/>
      <c r="L22" s="552"/>
      <c r="M22" s="435" t="s">
        <v>3</v>
      </c>
      <c r="N22" s="20"/>
      <c r="O22" s="49"/>
      <c r="P22" s="49">
        <v>2003005775.2</v>
      </c>
      <c r="Q22" s="561"/>
      <c r="R22" s="49"/>
      <c r="S22" s="49">
        <f>238604865.8+56631905</f>
        <v>295236770.80000001</v>
      </c>
      <c r="T22" s="49">
        <f t="shared" si="2"/>
        <v>2003005775.2</v>
      </c>
      <c r="U22" s="49">
        <f>IF(M22=$B$145,T22,IF(M22=$B$147,T22*$C$147/$C$145,IF(M22=$B$146,T22*$C$146/$C$145,IF(M22=$B$144,T22/$C$145))))</f>
        <v>4979380.9357132204</v>
      </c>
      <c r="V22" s="555"/>
      <c r="W22" s="638"/>
      <c r="X22" s="19"/>
    </row>
    <row r="23" spans="1:24" s="16" customFormat="1" ht="57.75" customHeight="1" outlineLevel="1" x14ac:dyDescent="0.25">
      <c r="A23" s="556">
        <v>11</v>
      </c>
      <c r="B23" s="565" t="s">
        <v>31</v>
      </c>
      <c r="C23" s="557" t="s">
        <v>64</v>
      </c>
      <c r="D23" s="559" t="s">
        <v>65</v>
      </c>
      <c r="E23" s="573" t="s">
        <v>463</v>
      </c>
      <c r="F23" s="576">
        <v>24022000</v>
      </c>
      <c r="G23" s="570">
        <f>P23+P25</f>
        <v>18384172.012149811</v>
      </c>
      <c r="H23" s="573">
        <v>0.02</v>
      </c>
      <c r="I23" s="570">
        <v>0</v>
      </c>
      <c r="J23" s="570">
        <f>G23-I23</f>
        <v>18384172.012149811</v>
      </c>
      <c r="K23" s="558" t="s">
        <v>321</v>
      </c>
      <c r="L23" s="559" t="s">
        <v>66</v>
      </c>
      <c r="M23" s="435" t="s">
        <v>67</v>
      </c>
      <c r="N23" s="65">
        <v>13988153</v>
      </c>
      <c r="O23" s="49">
        <f t="shared" ref="O23:O46" si="3">IF(M23=$B$145,N23,IF(M23=$B$147,N23*$C$147/$C$145,IF(M23=$B$146,N23*$C$146/$C$145,IF(M23=$B$148,N23*$C$148/$C$145,IF(M23=$B$144,N23/$C$145)))))</f>
        <v>18328632.434843138</v>
      </c>
      <c r="P23" s="49">
        <v>8262785.6411363389</v>
      </c>
      <c r="Q23" s="560">
        <v>3.1399999999999997E-2</v>
      </c>
      <c r="R23" s="49">
        <f>1430873.60020494+107795234.9/520.68</f>
        <v>1637901.4001972578</v>
      </c>
      <c r="S23" s="49">
        <f>1219413.93+55848657.5/520.68</f>
        <v>1326674.9300384112</v>
      </c>
      <c r="T23" s="49">
        <f t="shared" si="2"/>
        <v>6624884.2409390807</v>
      </c>
      <c r="U23" s="49">
        <f>IF(M23=$B$145,T23,IF(M23=$B$147,T23*$C$147/$C$145,IF(M23=$B$146,T23*$C$146/$C$145,IF(M23=$B$148,T23*$C$148/$C$145,IF(M23=$B$144,T23/$C$145)))))</f>
        <v>8680564.7733161915</v>
      </c>
      <c r="V23" s="554" t="s">
        <v>58</v>
      </c>
      <c r="W23" s="637" t="s">
        <v>485</v>
      </c>
      <c r="X23" s="19"/>
    </row>
    <row r="24" spans="1:24" s="16" customFormat="1" ht="32.25" customHeight="1" outlineLevel="1" x14ac:dyDescent="0.25">
      <c r="A24" s="546"/>
      <c r="B24" s="566"/>
      <c r="C24" s="567"/>
      <c r="D24" s="568"/>
      <c r="E24" s="574"/>
      <c r="F24" s="577"/>
      <c r="G24" s="571"/>
      <c r="H24" s="574"/>
      <c r="I24" s="571"/>
      <c r="J24" s="571"/>
      <c r="K24" s="552"/>
      <c r="L24" s="550"/>
      <c r="M24" s="439" t="s">
        <v>3</v>
      </c>
      <c r="N24" s="66"/>
      <c r="O24" s="49">
        <f t="shared" si="3"/>
        <v>0</v>
      </c>
      <c r="P24" s="49">
        <v>1194787815</v>
      </c>
      <c r="Q24" s="561"/>
      <c r="R24" s="49">
        <f>209123295.3+29868621.8</f>
        <v>238991917.10000002</v>
      </c>
      <c r="S24" s="49">
        <f>177460224.6+15474933</f>
        <v>192935157.59999999</v>
      </c>
      <c r="T24" s="49">
        <f t="shared" si="2"/>
        <v>955795897.89999998</v>
      </c>
      <c r="U24" s="49">
        <f>IF(M24=$B$145,T24,IF(M24=$B$147,T24*$C$147/$C$145,IF(M24=$B$146,T24*$C$146/$C$145,IF(M24=$B$148,T24*$C$148/$C$145,IF(M24=$B$144,T24/$C$145)))))</f>
        <v>2376064.9776264108</v>
      </c>
      <c r="V24" s="555"/>
      <c r="W24" s="638"/>
      <c r="X24" s="19"/>
    </row>
    <row r="25" spans="1:24" s="16" customFormat="1" ht="51.75" customHeight="1" outlineLevel="1" x14ac:dyDescent="0.25">
      <c r="A25" s="556">
        <v>12</v>
      </c>
      <c r="B25" s="565" t="s">
        <v>68</v>
      </c>
      <c r="C25" s="567"/>
      <c r="D25" s="568"/>
      <c r="E25" s="574"/>
      <c r="F25" s="577"/>
      <c r="G25" s="571"/>
      <c r="H25" s="574"/>
      <c r="I25" s="571"/>
      <c r="J25" s="571"/>
      <c r="K25" s="558" t="s">
        <v>324</v>
      </c>
      <c r="L25" s="559" t="s">
        <v>66</v>
      </c>
      <c r="M25" s="435" t="s">
        <v>67</v>
      </c>
      <c r="N25" s="65">
        <v>10098535</v>
      </c>
      <c r="O25" s="49">
        <f t="shared" si="3"/>
        <v>13232078.326952718</v>
      </c>
      <c r="P25" s="49">
        <v>10121386.37101347</v>
      </c>
      <c r="Q25" s="560">
        <v>3.1399999999999997E-2</v>
      </c>
      <c r="R25" s="49">
        <f>1520990.1+136750579/520.29</f>
        <v>1783825.40146649</v>
      </c>
      <c r="S25" s="49">
        <f>832426.027338+83294453/525+70252782/520.29</f>
        <v>1126108.3290630269</v>
      </c>
      <c r="T25" s="49">
        <f t="shared" si="2"/>
        <v>8337560.9695469802</v>
      </c>
      <c r="U25" s="49">
        <f>IF(M25=$B$145,T25,IF(M25=$B$147,T25*$C$147/$C$145,IF(M25=$B$146,T25*$C$146/$C$145,IF(M25=$B$148,T25*$C$148/$C$145,IF(M25=$B$144,T25/$C$145)))))</f>
        <v>10924679.649552088</v>
      </c>
      <c r="V25" s="554" t="s">
        <v>58</v>
      </c>
      <c r="W25" s="637" t="s">
        <v>486</v>
      </c>
      <c r="X25" s="19"/>
    </row>
    <row r="26" spans="1:24" s="16" customFormat="1" ht="32.25" customHeight="1" outlineLevel="1" x14ac:dyDescent="0.25">
      <c r="A26" s="546"/>
      <c r="B26" s="566"/>
      <c r="C26" s="549"/>
      <c r="D26" s="550"/>
      <c r="E26" s="575"/>
      <c r="F26" s="578"/>
      <c r="G26" s="572"/>
      <c r="H26" s="575"/>
      <c r="I26" s="572"/>
      <c r="J26" s="572"/>
      <c r="K26" s="552"/>
      <c r="L26" s="550"/>
      <c r="M26" s="439" t="s">
        <v>3</v>
      </c>
      <c r="N26" s="66"/>
      <c r="O26" s="49">
        <f t="shared" si="3"/>
        <v>0</v>
      </c>
      <c r="P26" s="49">
        <v>794162455.89999998</v>
      </c>
      <c r="Q26" s="561"/>
      <c r="R26" s="49">
        <f>123592049.7+20623615</f>
        <v>144215664.69999999</v>
      </c>
      <c r="S26" s="49">
        <f>78534680.8+10527955</f>
        <v>89062635.799999997</v>
      </c>
      <c r="T26" s="49">
        <f t="shared" si="2"/>
        <v>649946791.20000005</v>
      </c>
      <c r="U26" s="49">
        <f>IF(M26=$B$145,T26,IF(M26=$B$147,T26*$C$147/$C$145,IF(M26=$B$146,T26*$C$146/$C$145,IF(M26=$B$148,T26*$C$148/$C$145,IF(M26=$B$144,T26/$C$145)))))</f>
        <v>1615738.0579724559</v>
      </c>
      <c r="V26" s="555"/>
      <c r="W26" s="638"/>
      <c r="X26" s="19"/>
    </row>
    <row r="27" spans="1:24" s="16" customFormat="1" ht="48" customHeight="1" outlineLevel="1" x14ac:dyDescent="0.25">
      <c r="A27" s="433">
        <v>13</v>
      </c>
      <c r="B27" s="440" t="s">
        <v>31</v>
      </c>
      <c r="C27" s="580" t="s">
        <v>69</v>
      </c>
      <c r="D27" s="551" t="s">
        <v>70</v>
      </c>
      <c r="E27" s="441" t="s">
        <v>464</v>
      </c>
      <c r="F27" s="562">
        <v>15000000</v>
      </c>
      <c r="G27" s="562">
        <v>15000000</v>
      </c>
      <c r="H27" s="582">
        <v>1.4500000000000001E-2</v>
      </c>
      <c r="I27" s="562">
        <v>2437500</v>
      </c>
      <c r="J27" s="562">
        <f>G27-I27</f>
        <v>12562500</v>
      </c>
      <c r="K27" s="438" t="s">
        <v>325</v>
      </c>
      <c r="L27" s="439" t="s">
        <v>71</v>
      </c>
      <c r="M27" s="435" t="s">
        <v>57</v>
      </c>
      <c r="N27" s="49">
        <v>19600000</v>
      </c>
      <c r="O27" s="49">
        <f t="shared" si="3"/>
        <v>19600000</v>
      </c>
      <c r="P27" s="49">
        <v>19419334.870000001</v>
      </c>
      <c r="Q27" s="67">
        <v>5.0000000000000001E-3</v>
      </c>
      <c r="R27" s="49">
        <f>9716960.66852489+189584407.5/488.5+172026989.7/443.26+153375144/395.2+150045288.9/386.62</f>
        <v>11269340.668524889</v>
      </c>
      <c r="S27" s="49">
        <f>1129921.93024286+16077756.3/488.5+14096288.6/443.26+12233850.7/395.2+11546870.2/386.62</f>
        <v>1255458.1302620166</v>
      </c>
      <c r="T27" s="49">
        <f t="shared" si="2"/>
        <v>8149994.2014751118</v>
      </c>
      <c r="U27" s="49">
        <f>IF(M27=$B$145,T27,IF(M27=$B$147,T27*$C$147/$C$145,IF(M27=$B$146,T27*$C$146/$C$145,IF(M27=$B$148,T27*$C$148/$C$145,IF(M27=$B$144,T27/$C$145)))))</f>
        <v>8149994.2014751118</v>
      </c>
      <c r="V27" s="58" t="s">
        <v>58</v>
      </c>
      <c r="W27" s="652"/>
      <c r="X27" s="19"/>
    </row>
    <row r="28" spans="1:24" s="16" customFormat="1" ht="60" customHeight="1" outlineLevel="1" x14ac:dyDescent="0.25">
      <c r="A28" s="433">
        <v>14</v>
      </c>
      <c r="B28" s="440" t="s">
        <v>68</v>
      </c>
      <c r="C28" s="580"/>
      <c r="D28" s="551"/>
      <c r="E28" s="441" t="s">
        <v>464</v>
      </c>
      <c r="F28" s="562"/>
      <c r="G28" s="562"/>
      <c r="H28" s="582"/>
      <c r="I28" s="562"/>
      <c r="J28" s="562"/>
      <c r="K28" s="438" t="s">
        <v>326</v>
      </c>
      <c r="L28" s="439" t="s">
        <v>72</v>
      </c>
      <c r="M28" s="435" t="s">
        <v>57</v>
      </c>
      <c r="N28" s="49">
        <v>297276.53999999998</v>
      </c>
      <c r="O28" s="49">
        <f t="shared" si="3"/>
        <v>297276.53999999998</v>
      </c>
      <c r="P28" s="49">
        <v>297276.53999999998</v>
      </c>
      <c r="Q28" s="60" t="s">
        <v>73</v>
      </c>
      <c r="R28" s="49">
        <f>257638.543537781+4361667/440.15+3916234/395.2+3837157/387.22</f>
        <v>287367.04489083763</v>
      </c>
      <c r="S28" s="49">
        <f>229541.53251276+1912186/489.99+1556591/440.15+1259898/395.2+1094284/387.22</f>
        <v>242994.53549180552</v>
      </c>
      <c r="T28" s="49">
        <f t="shared" si="2"/>
        <v>9909.4951091623516</v>
      </c>
      <c r="U28" s="49">
        <f>IF(M28=$B$145,T28,IF(M28=$B$147,T28*$C$147/$C$145,IF(M28=$B$146,T28*$C$146/$C$145,IF(M28=$B$148,T28*$C$148/$C$145,IF(M28=$B$144,T28/$C$145)))))</f>
        <v>9909.4951091623516</v>
      </c>
      <c r="V28" s="58" t="s">
        <v>58</v>
      </c>
      <c r="W28" s="652"/>
      <c r="X28" s="19"/>
    </row>
    <row r="29" spans="1:24" s="16" customFormat="1" ht="51" customHeight="1" outlineLevel="1" x14ac:dyDescent="0.25">
      <c r="A29" s="433">
        <v>15</v>
      </c>
      <c r="B29" s="440" t="s">
        <v>68</v>
      </c>
      <c r="C29" s="579" t="s">
        <v>74</v>
      </c>
      <c r="D29" s="551" t="s">
        <v>75</v>
      </c>
      <c r="E29" s="563" t="s">
        <v>77</v>
      </c>
      <c r="F29" s="564">
        <f>5075000000+324000000</f>
        <v>5399000000</v>
      </c>
      <c r="G29" s="562">
        <f>5062807492+305504477</f>
        <v>5368311969</v>
      </c>
      <c r="H29" s="581" t="s">
        <v>465</v>
      </c>
      <c r="I29" s="562">
        <f>1729684492+71162477</f>
        <v>1800846969</v>
      </c>
      <c r="J29" s="562">
        <f>G29-I29</f>
        <v>3567465000</v>
      </c>
      <c r="K29" s="438" t="s">
        <v>327</v>
      </c>
      <c r="L29" s="439" t="s">
        <v>76</v>
      </c>
      <c r="M29" s="439" t="s">
        <v>77</v>
      </c>
      <c r="N29" s="49">
        <v>1571940173.3299999</v>
      </c>
      <c r="O29" s="49">
        <f t="shared" si="3"/>
        <v>10500182.085560855</v>
      </c>
      <c r="P29" s="49">
        <v>1598519063</v>
      </c>
      <c r="Q29" s="67">
        <v>1.7999999999999999E-2</v>
      </c>
      <c r="R29" s="49">
        <f>1030178646.5+123394332/3.026+109815247/2.693</f>
        <v>1111734715.4027808</v>
      </c>
      <c r="S29" s="49">
        <f>226837831.925937+13873556/3.026+11211247/2.693</f>
        <v>235585722.74296552</v>
      </c>
      <c r="T29" s="49">
        <f t="shared" si="2"/>
        <v>486784347.59721923</v>
      </c>
      <c r="U29" s="49">
        <f>IF(M29=$B$145,T29,IF(M29=$B$147,T29*$C$147/$C$145,IF(M29=$B$146,T29*$C$146/$C$145,IF(M29=$B$148,T29*$C$148/$C$145,IF(M29=$B$144,T29/$C$145)))))</f>
        <v>3251602.3019781434</v>
      </c>
      <c r="V29" s="58" t="s">
        <v>58</v>
      </c>
      <c r="W29" s="652"/>
      <c r="X29" s="19"/>
    </row>
    <row r="30" spans="1:24" s="16" customFormat="1" ht="41.25" customHeight="1" outlineLevel="1" x14ac:dyDescent="0.25">
      <c r="A30" s="433">
        <v>16</v>
      </c>
      <c r="B30" s="434" t="s">
        <v>78</v>
      </c>
      <c r="C30" s="579"/>
      <c r="D30" s="551"/>
      <c r="E30" s="563"/>
      <c r="F30" s="564"/>
      <c r="G30" s="562"/>
      <c r="H30" s="581"/>
      <c r="I30" s="562"/>
      <c r="J30" s="562"/>
      <c r="K30" s="438" t="s">
        <v>328</v>
      </c>
      <c r="L30" s="439" t="s">
        <v>76</v>
      </c>
      <c r="M30" s="439" t="s">
        <v>77</v>
      </c>
      <c r="N30" s="49">
        <v>3796371795.6700001</v>
      </c>
      <c r="O30" s="49">
        <f t="shared" si="3"/>
        <v>25358850.034717076</v>
      </c>
      <c r="P30" s="49">
        <v>3861444249</v>
      </c>
      <c r="Q30" s="67">
        <v>1.7999999999999999E-2</v>
      </c>
      <c r="R30" s="49">
        <f>2513837447.56+291897058.6/3.026+259774877.3/2.693</f>
        <v>2706763461.1630621</v>
      </c>
      <c r="S30" s="49">
        <f>553224853.256799+32762341/3.026+26475306.9/2.693</f>
        <v>573882957.45934212</v>
      </c>
      <c r="T30" s="49">
        <f t="shared" si="2"/>
        <v>1154680787.8369379</v>
      </c>
      <c r="U30" s="49">
        <f>IF(M30=$B$145,T30,IF(M30=$B$147,T30*$C$147/$C$145,IF(M30=$B$146,T30*$C$146/$C$145,IF(M30=$B$148,T30*$C$148/$C$145,IF(M30=$B$144,T30/$C$145)))))</f>
        <v>7712989.7999250535</v>
      </c>
      <c r="V30" s="58" t="s">
        <v>58</v>
      </c>
      <c r="W30" s="652"/>
      <c r="X30" s="19"/>
    </row>
    <row r="31" spans="1:24" s="16" customFormat="1" ht="33.75" customHeight="1" outlineLevel="1" x14ac:dyDescent="0.25">
      <c r="A31" s="547">
        <v>17</v>
      </c>
      <c r="B31" s="579" t="s">
        <v>79</v>
      </c>
      <c r="C31" s="580" t="s">
        <v>80</v>
      </c>
      <c r="D31" s="551" t="s">
        <v>70</v>
      </c>
      <c r="E31" s="563" t="s">
        <v>464</v>
      </c>
      <c r="F31" s="562">
        <v>10000000</v>
      </c>
      <c r="G31" s="562">
        <v>9972457.2400000002</v>
      </c>
      <c r="H31" s="582">
        <v>1.4500000000000001E-2</v>
      </c>
      <c r="I31" s="562">
        <v>0</v>
      </c>
      <c r="J31" s="562">
        <f>G31-I31</f>
        <v>9972457.2400000002</v>
      </c>
      <c r="K31" s="553" t="s">
        <v>329</v>
      </c>
      <c r="L31" s="551" t="s">
        <v>81</v>
      </c>
      <c r="M31" s="435" t="s">
        <v>57</v>
      </c>
      <c r="N31" s="49">
        <v>4846628.13</v>
      </c>
      <c r="O31" s="49">
        <f t="shared" si="3"/>
        <v>4846628.13</v>
      </c>
      <c r="P31" s="49">
        <v>4737831.22</v>
      </c>
      <c r="Q31" s="60">
        <v>7.4999999999999997E-3</v>
      </c>
      <c r="R31" s="49">
        <f>616176.07+18729201/386.44</f>
        <v>664642.06989649101</v>
      </c>
      <c r="S31" s="49">
        <f>353441.51+5923430/386.44</f>
        <v>368769.71101438778</v>
      </c>
      <c r="T31" s="49">
        <f t="shared" si="2"/>
        <v>4073189.1501035085</v>
      </c>
      <c r="U31" s="49">
        <f>IF(M31=$B$145,T31,IF(M31=$B$147,T31*$C$147/$C$145,IF(M31=$B$146,T31*$C$146/$C$145,IF(M31=$B$148,T31*$C$148/$C$145,IF(M31=$B$144,T31/$C$145)))))</f>
        <v>4073189.1501035085</v>
      </c>
      <c r="V31" s="58" t="s">
        <v>82</v>
      </c>
      <c r="W31" s="652"/>
      <c r="X31" s="19"/>
    </row>
    <row r="32" spans="1:24" s="16" customFormat="1" ht="41.25" customHeight="1" outlineLevel="1" x14ac:dyDescent="0.25">
      <c r="A32" s="547"/>
      <c r="B32" s="579"/>
      <c r="C32" s="580"/>
      <c r="D32" s="551"/>
      <c r="E32" s="563"/>
      <c r="F32" s="562"/>
      <c r="G32" s="562"/>
      <c r="H32" s="582"/>
      <c r="I32" s="562"/>
      <c r="J32" s="562"/>
      <c r="K32" s="553"/>
      <c r="L32" s="551"/>
      <c r="M32" s="439" t="s">
        <v>3</v>
      </c>
      <c r="N32" s="49">
        <v>1740568345.9000001</v>
      </c>
      <c r="O32" s="49">
        <f t="shared" si="3"/>
        <v>4326973.4646745892</v>
      </c>
      <c r="P32" s="49">
        <v>1740568345.9000001</v>
      </c>
      <c r="Q32" s="60">
        <v>7.4999999999999997E-3</v>
      </c>
      <c r="R32" s="49">
        <f>247100359+17402579</f>
        <v>264502938</v>
      </c>
      <c r="S32" s="49">
        <f>128165336.87+5554115.8</f>
        <v>133719452.67</v>
      </c>
      <c r="T32" s="49">
        <f t="shared" si="2"/>
        <v>1476065407.9000001</v>
      </c>
      <c r="U32" s="49">
        <f>IF(M32=$B$145,T32,IF(M32=$B$147,T32*$C$147/$C$145,IF(M32=$B$146,T32*$C$146/$C$145,IF(M32=$B$148,T32*$C$148/$C$145,IF(M32=$B$144,T32/$C$145)))))</f>
        <v>3669431.2332819575</v>
      </c>
      <c r="V32" s="58" t="s">
        <v>82</v>
      </c>
      <c r="W32" s="652"/>
      <c r="X32" s="19"/>
    </row>
    <row r="33" spans="1:25" ht="87" customHeight="1" outlineLevel="1" x14ac:dyDescent="0.25">
      <c r="A33" s="433">
        <v>18</v>
      </c>
      <c r="B33" s="440" t="s">
        <v>83</v>
      </c>
      <c r="C33" s="434" t="s">
        <v>84</v>
      </c>
      <c r="D33" s="439" t="s">
        <v>33</v>
      </c>
      <c r="E33" s="441" t="s">
        <v>466</v>
      </c>
      <c r="F33" s="436">
        <f>12782297+5112919</f>
        <v>17895216</v>
      </c>
      <c r="G33" s="436">
        <f>12782297+5112919</f>
        <v>17895216</v>
      </c>
      <c r="H33" s="441"/>
      <c r="I33" s="52">
        <f>2687350+357904</f>
        <v>3045254</v>
      </c>
      <c r="J33" s="436">
        <f>G33-I33</f>
        <v>14849962</v>
      </c>
      <c r="K33" s="438" t="s">
        <v>330</v>
      </c>
      <c r="L33" s="438" t="s">
        <v>85</v>
      </c>
      <c r="M33" s="435" t="s">
        <v>35</v>
      </c>
      <c r="N33" s="68">
        <v>17895215.550000001</v>
      </c>
      <c r="O33" s="49">
        <f t="shared" si="3"/>
        <v>18927751.603585992</v>
      </c>
      <c r="P33" s="49">
        <v>17895215.550000001</v>
      </c>
      <c r="Q33" s="60">
        <v>7.4999999999999997E-3</v>
      </c>
      <c r="R33" s="49">
        <f>7748628.1+130294835.3/415.04</f>
        <v>8062561.2999325357</v>
      </c>
      <c r="S33" s="49">
        <f>2568161.28+12471869/415.04+3320320/414.34</f>
        <v>2606224.5954896617</v>
      </c>
      <c r="T33" s="49">
        <f t="shared" si="2"/>
        <v>9832654.250067465</v>
      </c>
      <c r="U33" s="49">
        <f>IF(M33=$B$145,T33,IF(M33=$B$147,T33*$C$147/$C$145,IF(M33=$B$146,T33*$C$146/$C$145,IF(M33=$B$148,T33*$C$148/$C$145,IF(M33=$B$144,T33/$C$145)))))</f>
        <v>10399988.573997427</v>
      </c>
      <c r="V33" s="58" t="s">
        <v>58</v>
      </c>
      <c r="W33" s="652"/>
      <c r="X33" s="19"/>
      <c r="Y33" s="16"/>
    </row>
    <row r="34" spans="1:25" ht="40.5" customHeight="1" outlineLevel="1" x14ac:dyDescent="0.25">
      <c r="A34" s="547">
        <v>19</v>
      </c>
      <c r="B34" s="565" t="s">
        <v>86</v>
      </c>
      <c r="C34" s="580" t="s">
        <v>87</v>
      </c>
      <c r="D34" s="580" t="s">
        <v>288</v>
      </c>
      <c r="E34" s="584" t="s">
        <v>35</v>
      </c>
      <c r="F34" s="69">
        <v>14500000</v>
      </c>
      <c r="G34" s="69"/>
      <c r="H34" s="434"/>
      <c r="I34" s="70"/>
      <c r="J34" s="69">
        <f>G34-I34</f>
        <v>0</v>
      </c>
      <c r="K34" s="580" t="s">
        <v>331</v>
      </c>
      <c r="L34" s="434" t="s">
        <v>88</v>
      </c>
      <c r="M34" s="435" t="s">
        <v>35</v>
      </c>
      <c r="N34" s="71">
        <v>22000000</v>
      </c>
      <c r="O34" s="49">
        <f t="shared" si="3"/>
        <v>23269378.01421966</v>
      </c>
      <c r="P34" s="49">
        <v>21247150.510000002</v>
      </c>
      <c r="Q34" s="437" t="s">
        <v>89</v>
      </c>
      <c r="R34" s="49">
        <f>1047000+1047000+1047000+1047000+1047000+1047000</f>
        <v>6282000</v>
      </c>
      <c r="S34" s="49">
        <v>1901527.4</v>
      </c>
      <c r="T34" s="431">
        <f>P34-R34</f>
        <v>14965150.510000002</v>
      </c>
      <c r="U34" s="49">
        <f>IF(M34=$B$145,T34,IF(M34=$B$147,T34*$C$147/$C$145,IF(M34=$B$146,T34*$C$146/$C$145,IF(M34=$B$148,T34*$C$148/$C$145,IF(M34=$B$144,T34/$C$145)))))</f>
        <v>15828624.738949191</v>
      </c>
      <c r="V34" s="554" t="s">
        <v>473</v>
      </c>
      <c r="W34" s="652"/>
      <c r="X34" s="19"/>
      <c r="Y34" s="16"/>
    </row>
    <row r="35" spans="1:25" ht="31.5" customHeight="1" outlineLevel="1" x14ac:dyDescent="0.25">
      <c r="A35" s="547"/>
      <c r="B35" s="583"/>
      <c r="C35" s="580"/>
      <c r="D35" s="580"/>
      <c r="E35" s="584"/>
      <c r="F35" s="69">
        <v>14500000</v>
      </c>
      <c r="G35" s="69">
        <v>697853.84</v>
      </c>
      <c r="H35" s="434"/>
      <c r="I35" s="70"/>
      <c r="J35" s="69">
        <f>G35-I35</f>
        <v>697853.84</v>
      </c>
      <c r="K35" s="580"/>
      <c r="L35" s="434" t="s">
        <v>91</v>
      </c>
      <c r="M35" s="435" t="s">
        <v>35</v>
      </c>
      <c r="N35" s="71">
        <v>14500000</v>
      </c>
      <c r="O35" s="49">
        <f t="shared" si="3"/>
        <v>15336635.509372048</v>
      </c>
      <c r="P35" s="49">
        <v>14491281.059999999</v>
      </c>
      <c r="Q35" s="437" t="s">
        <v>36</v>
      </c>
      <c r="R35" s="49">
        <f>241000+241000+241000+241000+241000+241000</f>
        <v>1446000</v>
      </c>
      <c r="S35" s="49">
        <v>579706.23</v>
      </c>
      <c r="T35" s="431">
        <f>P35-R35</f>
        <v>13045281.059999999</v>
      </c>
      <c r="U35" s="49">
        <f>IF(M35=$B$145,T35,IF(M35=$B$147,T35*$C$147/$C$145,IF(M35=$B$146,T35*$C$146/$C$145,IF(M35=$B$148,T35*$C$148/$C$145,IF(M35=$B$144,T35/$C$145)))))</f>
        <v>13797980.740312733</v>
      </c>
      <c r="V35" s="662"/>
      <c r="W35" s="652"/>
      <c r="X35" s="19"/>
      <c r="Y35" s="16"/>
    </row>
    <row r="36" spans="1:25" ht="42.75" customHeight="1" outlineLevel="1" x14ac:dyDescent="0.25">
      <c r="A36" s="547"/>
      <c r="B36" s="566"/>
      <c r="C36" s="580"/>
      <c r="D36" s="580"/>
      <c r="E36" s="584"/>
      <c r="F36" s="69">
        <v>22000000</v>
      </c>
      <c r="G36" s="69"/>
      <c r="H36" s="434"/>
      <c r="I36" s="70"/>
      <c r="J36" s="69">
        <f>G36-I36</f>
        <v>0</v>
      </c>
      <c r="K36" s="580"/>
      <c r="L36" s="434" t="s">
        <v>92</v>
      </c>
      <c r="M36" s="435" t="s">
        <v>35</v>
      </c>
      <c r="N36" s="71">
        <v>14500000</v>
      </c>
      <c r="O36" s="49">
        <f t="shared" si="3"/>
        <v>15336635.509372048</v>
      </c>
      <c r="P36" s="49">
        <v>14500000.000000002</v>
      </c>
      <c r="Q36" s="437" t="s">
        <v>93</v>
      </c>
      <c r="R36" s="49">
        <f>2519999.6+630000+630000</f>
        <v>3779999.6</v>
      </c>
      <c r="S36" s="49">
        <v>2115062.19</v>
      </c>
      <c r="T36" s="431">
        <f>P36-R36</f>
        <v>10720000.400000002</v>
      </c>
      <c r="U36" s="49">
        <f>IF(M36=$B$145,T36,IF(M36=$B$147,T36*$C$147/$C$145,IF(M36=$B$146,T36*$C$146/$C$145,IF(M36=$B$148,T36*$C$148/$C$145,IF(M36=$B$144,T36/$C$145)))))</f>
        <v>11338533.710008457</v>
      </c>
      <c r="V36" s="555"/>
      <c r="W36" s="652"/>
      <c r="X36" s="19"/>
      <c r="Y36" s="16"/>
    </row>
    <row r="37" spans="1:25" ht="94.5" customHeight="1" outlineLevel="1" x14ac:dyDescent="0.25">
      <c r="A37" s="433">
        <v>20</v>
      </c>
      <c r="B37" s="434" t="s">
        <v>94</v>
      </c>
      <c r="C37" s="440" t="s">
        <v>95</v>
      </c>
      <c r="D37" s="439" t="s">
        <v>75</v>
      </c>
      <c r="E37" s="441" t="s">
        <v>77</v>
      </c>
      <c r="F37" s="442">
        <v>26409000000</v>
      </c>
      <c r="G37" s="436">
        <v>26399286331</v>
      </c>
      <c r="H37" s="437">
        <v>7.4999999999999997E-3</v>
      </c>
      <c r="I37" s="436">
        <v>432846331</v>
      </c>
      <c r="J37" s="69">
        <f>G37-I37</f>
        <v>25966440000</v>
      </c>
      <c r="K37" s="438" t="s">
        <v>332</v>
      </c>
      <c r="L37" s="439" t="s">
        <v>96</v>
      </c>
      <c r="M37" s="439" t="s">
        <v>77</v>
      </c>
      <c r="N37" s="442">
        <v>26409000000</v>
      </c>
      <c r="O37" s="49">
        <f t="shared" si="3"/>
        <v>176405764.92815593</v>
      </c>
      <c r="P37" s="49">
        <v>26399286331</v>
      </c>
      <c r="Q37" s="60">
        <v>7.4999999999999997E-3</v>
      </c>
      <c r="R37" s="49">
        <f>7357230331.16835+1131704010/2.615</f>
        <v>7790004331.1683502</v>
      </c>
      <c r="S37" s="49">
        <f>2607354309.06995+188428717.2/2.615</f>
        <v>2679411179.8921299</v>
      </c>
      <c r="T37" s="436">
        <f t="shared" ref="T37:T46" si="4">P37-R37</f>
        <v>18609281999.83165</v>
      </c>
      <c r="U37" s="49">
        <f>IF(M37=$B$145,T37,IF(M37=$B$147,T37*$C$147/$C$145,IF(M37=$B$146,T37*$C$146/$C$145,IF(M37=$B$148,T37*$C$148/$C$145,IF(M37=$B$144,T37/$C$145)))))</f>
        <v>124305525.61414915</v>
      </c>
      <c r="V37" s="58" t="s">
        <v>97</v>
      </c>
      <c r="W37" s="652"/>
      <c r="X37" s="19"/>
      <c r="Y37" s="16"/>
    </row>
    <row r="38" spans="1:25" ht="51.75" customHeight="1" outlineLevel="1" x14ac:dyDescent="0.25">
      <c r="A38" s="433">
        <v>21</v>
      </c>
      <c r="B38" s="440" t="s">
        <v>31</v>
      </c>
      <c r="C38" s="434" t="s">
        <v>98</v>
      </c>
      <c r="D38" s="434" t="s">
        <v>99</v>
      </c>
      <c r="E38" s="441"/>
      <c r="F38" s="441"/>
      <c r="G38" s="441"/>
      <c r="H38" s="441"/>
      <c r="I38" s="441"/>
      <c r="J38" s="441"/>
      <c r="K38" s="438" t="s">
        <v>333</v>
      </c>
      <c r="L38" s="439" t="s">
        <v>100</v>
      </c>
      <c r="M38" s="435" t="s">
        <v>57</v>
      </c>
      <c r="N38" s="49">
        <v>8988290</v>
      </c>
      <c r="O38" s="49">
        <f t="shared" si="3"/>
        <v>8988290</v>
      </c>
      <c r="P38" s="49">
        <v>8988290</v>
      </c>
      <c r="Q38" s="67">
        <v>5.0000000000000001E-3</v>
      </c>
      <c r="R38" s="49">
        <f>4199999.97+600000+600000+289644000/482.74+290820000/484.7+286458000/477.43+600000+600000+231939215.4/394.26</f>
        <v>8988289.9699999988</v>
      </c>
      <c r="S38" s="49">
        <f>838542.942447016+522591.6/394.26</f>
        <v>839868.44237092405</v>
      </c>
      <c r="T38" s="436">
        <f t="shared" si="4"/>
        <v>3.0000001192092896E-2</v>
      </c>
      <c r="U38" s="49">
        <f>IF(M38=$B$145,T38,IF(M38=$B$147,T38*$C$147/$C$145,IF(M38=$B$146,T38*$C$146/$C$145,IF(M38=$B$148,T38*$C$148/$C$145,IF(M38=$B$144,T38/$C$145)))))</f>
        <v>3.0000001192092896E-2</v>
      </c>
      <c r="V38" s="58" t="s">
        <v>82</v>
      </c>
      <c r="W38" s="652"/>
      <c r="X38" s="19"/>
      <c r="Y38" s="16"/>
    </row>
    <row r="39" spans="1:25" ht="63.75" customHeight="1" outlineLevel="1" x14ac:dyDescent="0.25">
      <c r="A39" s="433">
        <v>22</v>
      </c>
      <c r="B39" s="440" t="s">
        <v>101</v>
      </c>
      <c r="C39" s="434" t="s">
        <v>98</v>
      </c>
      <c r="D39" s="434" t="s">
        <v>102</v>
      </c>
      <c r="E39" s="441"/>
      <c r="F39" s="441"/>
      <c r="G39" s="441"/>
      <c r="H39" s="441"/>
      <c r="I39" s="441"/>
      <c r="J39" s="441"/>
      <c r="K39" s="74" t="s">
        <v>334</v>
      </c>
      <c r="L39" s="49" t="s">
        <v>103</v>
      </c>
      <c r="M39" s="69" t="s">
        <v>3</v>
      </c>
      <c r="N39" s="49">
        <v>1757100000</v>
      </c>
      <c r="O39" s="49">
        <f t="shared" si="3"/>
        <v>4368070.4022274148</v>
      </c>
      <c r="P39" s="49">
        <v>1757100000</v>
      </c>
      <c r="Q39" s="60">
        <v>7.4999999999999997E-3</v>
      </c>
      <c r="R39" s="49">
        <f>439275000+62753571.5+62753571.5+62753571.3+62753571.4+62753571.4+62753571.4+62753571.5</f>
        <v>878549999.99999988</v>
      </c>
      <c r="S39" s="49">
        <f>303383430.5+3313904.4+3032802.7</f>
        <v>309730137.59999996</v>
      </c>
      <c r="T39" s="436">
        <f t="shared" si="4"/>
        <v>878550000.00000012</v>
      </c>
      <c r="U39" s="49">
        <f>IF(M39=$B$145,T39,IF(M39=$B$147,T39*$C$147/$C$145,IF(M39=$B$146,T39*$C$146/$C$145,IF(M39=$B$148,T39*$C$148/$C$145,IF(M39=$B$144,T39/$C$145)))))</f>
        <v>2184035.2011137079</v>
      </c>
      <c r="V39" s="58" t="s">
        <v>82</v>
      </c>
      <c r="W39" s="652"/>
      <c r="X39" s="19"/>
      <c r="Y39" s="16"/>
    </row>
    <row r="40" spans="1:25" ht="63.75" customHeight="1" outlineLevel="1" x14ac:dyDescent="0.25">
      <c r="A40" s="421">
        <v>23</v>
      </c>
      <c r="B40" s="440" t="s">
        <v>101</v>
      </c>
      <c r="C40" s="411" t="s">
        <v>104</v>
      </c>
      <c r="D40" s="434"/>
      <c r="E40" s="441"/>
      <c r="F40" s="441"/>
      <c r="G40" s="441"/>
      <c r="H40" s="441"/>
      <c r="I40" s="441"/>
      <c r="J40" s="441"/>
      <c r="K40" s="74" t="s">
        <v>335</v>
      </c>
      <c r="L40" s="49" t="s">
        <v>105</v>
      </c>
      <c r="M40" s="69" t="s">
        <v>3</v>
      </c>
      <c r="N40" s="49">
        <v>18700000000</v>
      </c>
      <c r="O40" s="49">
        <f t="shared" si="3"/>
        <v>46487346.492318399</v>
      </c>
      <c r="P40" s="49">
        <v>18700000000</v>
      </c>
      <c r="Q40" s="427">
        <v>7.4999999999999997E-2</v>
      </c>
      <c r="R40" s="49">
        <f>890476190.5+890476190.5+890476190.5</f>
        <v>2671428571.5</v>
      </c>
      <c r="S40" s="49">
        <f>1333335616.4+703171232.9+699328767.1+670052837.5+632909002</f>
        <v>4038797455.9000001</v>
      </c>
      <c r="T40" s="436">
        <f t="shared" si="4"/>
        <v>16028571428.5</v>
      </c>
      <c r="U40" s="49">
        <f>IF(M40=$B$145,T40,IF(M40=$B$147,T40*$C$147/$C$145,IF(M40=$B$146,T40*$C$146/$C$145,IF(M40=$B$148,T40*$C$148/$C$145,IF(M40=$B$144,T40/$C$145)))))</f>
        <v>39846296.993238203</v>
      </c>
      <c r="V40" s="58" t="s">
        <v>82</v>
      </c>
      <c r="W40" s="652"/>
      <c r="X40" s="19"/>
      <c r="Y40" s="16"/>
    </row>
    <row r="41" spans="1:25" ht="63.75" customHeight="1" outlineLevel="1" x14ac:dyDescent="0.25">
      <c r="A41" s="421">
        <v>24</v>
      </c>
      <c r="B41" s="440" t="s">
        <v>101</v>
      </c>
      <c r="C41" s="411" t="s">
        <v>289</v>
      </c>
      <c r="D41" s="434"/>
      <c r="E41" s="441"/>
      <c r="F41" s="441"/>
      <c r="G41" s="441"/>
      <c r="H41" s="441"/>
      <c r="I41" s="441"/>
      <c r="J41" s="441"/>
      <c r="K41" s="78"/>
      <c r="L41" s="49" t="s">
        <v>272</v>
      </c>
      <c r="M41" s="69" t="s">
        <v>3</v>
      </c>
      <c r="N41" s="49">
        <v>25000000000</v>
      </c>
      <c r="O41" s="49">
        <f t="shared" si="3"/>
        <v>62148858.946949735</v>
      </c>
      <c r="P41" s="49">
        <v>25000000000</v>
      </c>
      <c r="Q41" s="427">
        <v>0.09</v>
      </c>
      <c r="R41" s="49">
        <f>1190476190.4</f>
        <v>1190476190.4000001</v>
      </c>
      <c r="S41" s="49">
        <f>1171232876.7+1121917808.3+1128082191.8+1121917808.2</f>
        <v>4543150685</v>
      </c>
      <c r="T41" s="436">
        <f t="shared" si="4"/>
        <v>23809523809.599998</v>
      </c>
      <c r="U41" s="49">
        <f>IF(M41=$B$145,T41,IF(M41=$B$147,T41*$C$147/$C$145,IF(M41=$B$146,T41*$C$146/$C$145,IF(M41=$B$148,T41*$C$148/$C$145,IF(M41=$B$144,T41/$C$145)))))</f>
        <v>59189389.473474868</v>
      </c>
      <c r="V41" s="58" t="s">
        <v>82</v>
      </c>
      <c r="W41" s="652"/>
      <c r="X41" s="19"/>
      <c r="Y41" s="16"/>
    </row>
    <row r="42" spans="1:25" ht="63.75" customHeight="1" outlineLevel="1" x14ac:dyDescent="0.25">
      <c r="A42" s="421">
        <v>25</v>
      </c>
      <c r="B42" s="440" t="s">
        <v>101</v>
      </c>
      <c r="C42" s="411" t="s">
        <v>275</v>
      </c>
      <c r="D42" s="434"/>
      <c r="E42" s="441"/>
      <c r="F42" s="441"/>
      <c r="G42" s="441"/>
      <c r="H42" s="441"/>
      <c r="I42" s="441"/>
      <c r="J42" s="441"/>
      <c r="K42" s="74" t="s">
        <v>336</v>
      </c>
      <c r="L42" s="49" t="s">
        <v>276</v>
      </c>
      <c r="M42" s="69" t="s">
        <v>3</v>
      </c>
      <c r="N42" s="49">
        <v>2242223800</v>
      </c>
      <c r="O42" s="49">
        <f t="shared" si="3"/>
        <v>5574066.0269477451</v>
      </c>
      <c r="P42" s="49">
        <v>2242223800</v>
      </c>
      <c r="Q42" s="79">
        <v>9.1240000000000002E-2</v>
      </c>
      <c r="R42" s="49">
        <v>2242223800</v>
      </c>
      <c r="S42" s="49">
        <v>297062095</v>
      </c>
      <c r="T42" s="436">
        <f t="shared" si="4"/>
        <v>0</v>
      </c>
      <c r="U42" s="49">
        <f>IF(M42=$B$145,T42,IF(M42=$B$147,T42*$C$147/$C$145,IF(M42=$B$146,T42*$C$146/$C$145,IF(M42=$B$148,T42*$C$148/$C$145,IF(M42=$B$144,T42/$C$145)))))</f>
        <v>0</v>
      </c>
      <c r="V42" s="58" t="s">
        <v>82</v>
      </c>
      <c r="W42" s="652"/>
      <c r="X42" s="19"/>
      <c r="Y42" s="16"/>
    </row>
    <row r="43" spans="1:25" ht="57.75" customHeight="1" outlineLevel="1" x14ac:dyDescent="0.25">
      <c r="A43" s="556">
        <v>26</v>
      </c>
      <c r="B43" s="565" t="s">
        <v>101</v>
      </c>
      <c r="C43" s="557" t="s">
        <v>106</v>
      </c>
      <c r="D43" s="439" t="s">
        <v>107</v>
      </c>
      <c r="E43" s="435" t="s">
        <v>57</v>
      </c>
      <c r="F43" s="436">
        <v>270000000</v>
      </c>
      <c r="G43" s="80">
        <v>7766059.0499999998</v>
      </c>
      <c r="H43" s="441"/>
      <c r="I43" s="441"/>
      <c r="J43" s="441"/>
      <c r="K43" s="558" t="s">
        <v>337</v>
      </c>
      <c r="L43" s="600" t="s">
        <v>108</v>
      </c>
      <c r="M43" s="435" t="s">
        <v>57</v>
      </c>
      <c r="N43" s="65">
        <v>270000000</v>
      </c>
      <c r="O43" s="49">
        <f t="shared" si="3"/>
        <v>270000000</v>
      </c>
      <c r="P43" s="49">
        <v>173574580.28</v>
      </c>
      <c r="Q43" s="602">
        <v>0.03</v>
      </c>
      <c r="R43" s="49">
        <f>51199088.7002228+3370009369.8/394.93+3295429324.9/386.19</f>
        <v>68265451.600323498</v>
      </c>
      <c r="S43" s="49">
        <f>20309911.275649+723428666.7/394.93+646453366.1/386.19</f>
        <v>23815626.575622123</v>
      </c>
      <c r="T43" s="436">
        <f t="shared" si="4"/>
        <v>105309128.6796765</v>
      </c>
      <c r="U43" s="49">
        <f>IF(M43=$B$145,T43,IF(M43=$B$147,T43*$C$147/$C$145,IF(M43=$B$146,T43*$C$146/$C$145,IF(M43=$B$148,T43*$C$148/$C$145,IF(M43=$B$144,T43/$C$145)))))</f>
        <v>105309128.6796765</v>
      </c>
      <c r="V43" s="554" t="s">
        <v>90</v>
      </c>
      <c r="W43" s="652"/>
      <c r="X43" s="19"/>
      <c r="Y43" s="16"/>
    </row>
    <row r="44" spans="1:25" ht="57.75" customHeight="1" outlineLevel="1" x14ac:dyDescent="0.25">
      <c r="A44" s="546"/>
      <c r="B44" s="566"/>
      <c r="C44" s="549"/>
      <c r="D44" s="420"/>
      <c r="E44" s="82"/>
      <c r="F44" s="445"/>
      <c r="G44" s="83"/>
      <c r="H44" s="448"/>
      <c r="I44" s="448"/>
      <c r="J44" s="448"/>
      <c r="K44" s="552"/>
      <c r="L44" s="601"/>
      <c r="M44" s="69" t="s">
        <v>3</v>
      </c>
      <c r="N44" s="66">
        <v>1265847400</v>
      </c>
      <c r="O44" s="49">
        <f t="shared" si="3"/>
        <v>3146838.8604385224</v>
      </c>
      <c r="P44" s="49">
        <f>9509488626+108542329</f>
        <v>9618030955</v>
      </c>
      <c r="Q44" s="603"/>
      <c r="R44" s="49">
        <f>2858334735.47632+482835444.3+482835444.2</f>
        <v>3824005623.9763198</v>
      </c>
      <c r="S44" s="49">
        <f>1045375895.11175+103648675.3+94716219.7</f>
        <v>1243740790.1117501</v>
      </c>
      <c r="T44" s="436">
        <f t="shared" si="4"/>
        <v>5794025331.0236797</v>
      </c>
      <c r="U44" s="49">
        <f>IF(M44=$B$145,T44,IF(M44=$B$147,T44*$C$147/$C$145,IF(M44=$B$146,T44*$C$146/$C$145,IF(M44=$B$148,T44*$C$148/$C$145,IF(M44=$B$144,T44/$C$145)))))</f>
        <v>14403682.521313777</v>
      </c>
      <c r="V44" s="555"/>
      <c r="W44" s="652"/>
      <c r="X44" s="19"/>
      <c r="Y44" s="16"/>
    </row>
    <row r="45" spans="1:25" ht="57.75" customHeight="1" outlineLevel="1" x14ac:dyDescent="0.25">
      <c r="A45" s="433">
        <v>27</v>
      </c>
      <c r="B45" s="440" t="s">
        <v>101</v>
      </c>
      <c r="C45" s="434" t="s">
        <v>109</v>
      </c>
      <c r="D45" s="439"/>
      <c r="E45" s="435"/>
      <c r="F45" s="436"/>
      <c r="G45" s="80"/>
      <c r="H45" s="441"/>
      <c r="I45" s="441"/>
      <c r="J45" s="441"/>
      <c r="K45" s="429" t="s">
        <v>338</v>
      </c>
      <c r="L45" s="431" t="s">
        <v>110</v>
      </c>
      <c r="M45" s="47" t="s">
        <v>57</v>
      </c>
      <c r="N45" s="65">
        <v>8907500</v>
      </c>
      <c r="O45" s="49">
        <f t="shared" si="3"/>
        <v>8907500</v>
      </c>
      <c r="P45" s="49">
        <v>8907384.7100000009</v>
      </c>
      <c r="Q45" s="560" t="s">
        <v>388</v>
      </c>
      <c r="R45" s="49"/>
      <c r="S45" s="49">
        <f>1241236.45+96159781.6/386.38</f>
        <v>1490110.05008282</v>
      </c>
      <c r="T45" s="446">
        <f t="shared" si="4"/>
        <v>8907384.7100000009</v>
      </c>
      <c r="U45" s="49">
        <f>IF(M45=$B$145,T45,IF(M45=$B$147,T45*$C$147/$C$145,IF(M45=$B$146,T45*$C$146/$C$145,IF(M45=$B$148,T45*$C$148/$C$145,IF(M45=$B$144,T45/$C$145)))))</f>
        <v>8907384.7100000009</v>
      </c>
      <c r="V45" s="413" t="s">
        <v>111</v>
      </c>
      <c r="W45" s="652"/>
      <c r="X45" s="19"/>
      <c r="Y45" s="16"/>
    </row>
    <row r="46" spans="1:25" ht="78.75" customHeight="1" outlineLevel="1" thickBot="1" x14ac:dyDescent="0.3">
      <c r="A46" s="433">
        <v>28</v>
      </c>
      <c r="B46" s="417" t="s">
        <v>94</v>
      </c>
      <c r="C46" s="412" t="s">
        <v>109</v>
      </c>
      <c r="D46" s="418"/>
      <c r="E46" s="90"/>
      <c r="F46" s="446"/>
      <c r="G46" s="91"/>
      <c r="H46" s="449"/>
      <c r="I46" s="449"/>
      <c r="J46" s="449"/>
      <c r="K46" s="429" t="s">
        <v>339</v>
      </c>
      <c r="L46" s="93" t="s">
        <v>110</v>
      </c>
      <c r="M46" s="90" t="s">
        <v>57</v>
      </c>
      <c r="N46" s="94">
        <v>21092500</v>
      </c>
      <c r="O46" s="49">
        <f t="shared" si="3"/>
        <v>21092500</v>
      </c>
      <c r="P46" s="49">
        <v>21092210.790000003</v>
      </c>
      <c r="Q46" s="589"/>
      <c r="R46" s="49"/>
      <c r="S46" s="49">
        <f>3081286.01+227668040/386.38</f>
        <v>3670519.5106987935</v>
      </c>
      <c r="T46" s="445">
        <f t="shared" si="4"/>
        <v>21092210.790000003</v>
      </c>
      <c r="U46" s="49">
        <f>IF(M46=$B$145,T46,IF(M46=$B$147,T46*$C$147/$C$145,IF(M46=$B$146,T46*$C$146/$C$145,IF(M46=$B$148,T46*$C$148/$C$145,IF(M46=$B$144,T46/$C$145)))))</f>
        <v>21092210.790000003</v>
      </c>
      <c r="V46" s="413" t="s">
        <v>112</v>
      </c>
      <c r="W46" s="653"/>
      <c r="X46" s="19"/>
    </row>
    <row r="47" spans="1:25" s="20" customFormat="1" ht="15" customHeight="1" x14ac:dyDescent="0.25">
      <c r="A47" s="590" t="s">
        <v>121</v>
      </c>
      <c r="B47" s="591"/>
      <c r="C47" s="591"/>
      <c r="D47" s="594" t="s">
        <v>35</v>
      </c>
      <c r="E47" s="594"/>
      <c r="F47" s="594"/>
      <c r="G47" s="594"/>
      <c r="H47" s="594"/>
      <c r="I47" s="594"/>
      <c r="J47" s="594"/>
      <c r="K47" s="594"/>
      <c r="L47" s="594"/>
      <c r="M47" s="95"/>
      <c r="N47" s="21">
        <f>SUMIF($M$5:$M$46,D47,$N$5:$N$46)</f>
        <v>275755742.28000003</v>
      </c>
      <c r="O47" s="21"/>
      <c r="P47" s="21">
        <f>SUMIF($M$5:$M$46,D47,$P$5:$P$46)</f>
        <v>97929055.540000007</v>
      </c>
      <c r="Q47" s="21"/>
      <c r="R47" s="21">
        <f>SUMIF($M$5:$M$46,D47,$R$5:$R$46)</f>
        <v>34129148.739822738</v>
      </c>
      <c r="S47" s="21">
        <f>SUMIF($M$5:$M$46,D47,$S$5:$S$46)</f>
        <v>15458404.88751778</v>
      </c>
      <c r="T47" s="21">
        <f>SUMIF($M$5:$M$46,D47,$T$5:$T$46)</f>
        <v>63799906.800177261</v>
      </c>
      <c r="U47" s="21"/>
      <c r="V47" s="96"/>
      <c r="W47" s="651"/>
      <c r="X47" s="19"/>
    </row>
    <row r="48" spans="1:25" s="20" customFormat="1" ht="15" customHeight="1" x14ac:dyDescent="0.25">
      <c r="A48" s="592"/>
      <c r="B48" s="593"/>
      <c r="C48" s="593"/>
      <c r="D48" s="595" t="s">
        <v>3</v>
      </c>
      <c r="E48" s="595"/>
      <c r="F48" s="595"/>
      <c r="G48" s="595"/>
      <c r="H48" s="595"/>
      <c r="I48" s="595"/>
      <c r="J48" s="595"/>
      <c r="K48" s="595"/>
      <c r="L48" s="595"/>
      <c r="M48" s="97"/>
      <c r="N48" s="22">
        <f>SUMIF($M$5:$M$46,D48,$N$5:$N$46)</f>
        <v>50705739545.900002</v>
      </c>
      <c r="O48" s="22"/>
      <c r="P48" s="22">
        <f>SUMIF($M$5:$M$46,D48,$P$5:$P$46)</f>
        <v>69405296435.899994</v>
      </c>
      <c r="Q48" s="22"/>
      <c r="R48" s="22">
        <f>SUMIF($M$5:$M$46,D48,$R$5:$R$46)</f>
        <v>12055392998.076321</v>
      </c>
      <c r="S48" s="22">
        <f>SUMIF($M$5:$M$46,D48,$S$5:$S$46)</f>
        <v>12324017273.821749</v>
      </c>
      <c r="T48" s="22">
        <f>SUMIF($M$5:$M$46,D48,$T$5:$T$46)</f>
        <v>57349903437.823685</v>
      </c>
      <c r="U48" s="22"/>
      <c r="V48" s="98"/>
      <c r="W48" s="652"/>
      <c r="X48" s="19"/>
    </row>
    <row r="49" spans="1:24" s="20" customFormat="1" ht="15" customHeight="1" x14ac:dyDescent="0.25">
      <c r="A49" s="592"/>
      <c r="B49" s="593"/>
      <c r="C49" s="593"/>
      <c r="D49" s="595" t="s">
        <v>57</v>
      </c>
      <c r="E49" s="595"/>
      <c r="F49" s="595"/>
      <c r="G49" s="595"/>
      <c r="H49" s="595"/>
      <c r="I49" s="595"/>
      <c r="J49" s="595"/>
      <c r="K49" s="595"/>
      <c r="L49" s="595"/>
      <c r="M49" s="97"/>
      <c r="N49" s="22">
        <f>SUMIF($M$5:$M$46,D49,$N$5:$N$46)</f>
        <v>443654882.94000006</v>
      </c>
      <c r="O49" s="22">
        <f>SUM(O2:O43)</f>
        <v>1072052279.1153955</v>
      </c>
      <c r="P49" s="22">
        <f>SUMIF($M$5:$M$46,D49,$P$5:$P$46)</f>
        <v>322690054.62</v>
      </c>
      <c r="Q49" s="22"/>
      <c r="R49" s="22">
        <f>SUMIF($M$5:$M$46,D49,$R$5:$R$46)</f>
        <v>94017169.353545114</v>
      </c>
      <c r="S49" s="22">
        <f>SUMIF($M$5:$M$46,D49,$S$5:$S$46)</f>
        <v>47967670.69000712</v>
      </c>
      <c r="T49" s="22">
        <f>SUMIF($M$5:$M$46,D49,$T$5:$T$46)</f>
        <v>228672885.26645488</v>
      </c>
      <c r="U49" s="22">
        <f>SUM(U2:U46)</f>
        <v>593598587.44439292</v>
      </c>
      <c r="V49" s="98"/>
      <c r="W49" s="652"/>
      <c r="X49" s="19"/>
    </row>
    <row r="50" spans="1:24" s="20" customFormat="1" ht="15" customHeight="1" x14ac:dyDescent="0.25">
      <c r="A50" s="592"/>
      <c r="B50" s="593"/>
      <c r="C50" s="593"/>
      <c r="D50" s="596" t="s">
        <v>77</v>
      </c>
      <c r="E50" s="596"/>
      <c r="F50" s="596"/>
      <c r="G50" s="596"/>
      <c r="H50" s="596"/>
      <c r="I50" s="596"/>
      <c r="J50" s="596"/>
      <c r="K50" s="596"/>
      <c r="L50" s="596"/>
      <c r="M50" s="99"/>
      <c r="N50" s="100">
        <f>SUMIF($M$5:$M$46,D50,$N$5:$N$46)</f>
        <v>31777311969</v>
      </c>
      <c r="O50" s="100"/>
      <c r="P50" s="100">
        <f>SUMIF($M$5:$M$46,D50,$P$5:$P$46)</f>
        <v>31859249643</v>
      </c>
      <c r="Q50" s="100"/>
      <c r="R50" s="100">
        <f>SUMIF($M$5:$M$46,D50,$R$5:$R$46)</f>
        <v>11608502507.734192</v>
      </c>
      <c r="S50" s="100">
        <f>SUMIF($M$5:$M$46,D50,$S$5:$S$46)</f>
        <v>3488879860.0944376</v>
      </c>
      <c r="T50" s="100">
        <f>SUMIF($M$5:$M$46,D50,$T$5:$T$46)</f>
        <v>20250747135.265808</v>
      </c>
      <c r="U50" s="100"/>
      <c r="V50" s="101"/>
      <c r="W50" s="654"/>
      <c r="X50" s="19"/>
    </row>
    <row r="51" spans="1:24" s="20" customFormat="1" ht="15" customHeight="1" thickBot="1" x14ac:dyDescent="0.3">
      <c r="A51" s="592"/>
      <c r="B51" s="593"/>
      <c r="C51" s="593"/>
      <c r="D51" s="597" t="s">
        <v>67</v>
      </c>
      <c r="E51" s="598"/>
      <c r="F51" s="598"/>
      <c r="G51" s="598"/>
      <c r="H51" s="598"/>
      <c r="I51" s="598"/>
      <c r="J51" s="598"/>
      <c r="K51" s="598"/>
      <c r="L51" s="599"/>
      <c r="M51" s="102"/>
      <c r="N51" s="23">
        <f>SUMIF($M$5:$M$46,D51,$N$5:$N$46)</f>
        <v>24086688</v>
      </c>
      <c r="O51" s="23"/>
      <c r="P51" s="23">
        <f>SUMIF($M$5:$M$46,D51,$P$5:$P$46)</f>
        <v>18384172.012149811</v>
      </c>
      <c r="Q51" s="23"/>
      <c r="R51" s="23">
        <f>SUMIF($M$5:$M$46,D51,$R$5:$R$46)</f>
        <v>3421726.801663748</v>
      </c>
      <c r="S51" s="23">
        <f>SUMIF($M$5:$M$46,D51,$S$5:$S$46)</f>
        <v>2452783.2591014383</v>
      </c>
      <c r="T51" s="23">
        <f>SUMIF($M$5:$M$46,D51,$T$5:$T$46)</f>
        <v>14962445.210486062</v>
      </c>
      <c r="U51" s="23"/>
      <c r="V51" s="103"/>
      <c r="W51" s="653"/>
      <c r="X51" s="19"/>
    </row>
    <row r="52" spans="1:24" ht="78" customHeight="1" outlineLevel="1" x14ac:dyDescent="0.25">
      <c r="A52" s="422">
        <v>29</v>
      </c>
      <c r="B52" s="416" t="s">
        <v>122</v>
      </c>
      <c r="C52" s="417" t="s">
        <v>123</v>
      </c>
      <c r="D52" s="419" t="s">
        <v>124</v>
      </c>
      <c r="E52" s="47" t="s">
        <v>35</v>
      </c>
      <c r="F52" s="447">
        <v>5000000</v>
      </c>
      <c r="G52" s="447">
        <v>5000000</v>
      </c>
      <c r="H52" s="444" t="s">
        <v>126</v>
      </c>
      <c r="I52" s="42">
        <v>1041667</v>
      </c>
      <c r="J52" s="447">
        <f>G52-I52</f>
        <v>3958333</v>
      </c>
      <c r="K52" s="429" t="s">
        <v>340</v>
      </c>
      <c r="L52" s="429" t="s">
        <v>125</v>
      </c>
      <c r="M52" s="47" t="s">
        <v>35</v>
      </c>
      <c r="N52" s="431">
        <v>5000000</v>
      </c>
      <c r="O52" s="431">
        <f>IF(M52=$B$145,N52,IF(M52=$B$147,N52*$C$147/$C$145,IF(M52=$B$146,N52*$C$146/$C$145,IF(M52=$B$144,N52/$C$145))))</f>
        <v>5288495.0032317415</v>
      </c>
      <c r="P52" s="431">
        <v>5000000</v>
      </c>
      <c r="Q52" s="444" t="s">
        <v>126</v>
      </c>
      <c r="R52" s="431">
        <f>4166666.69+208333.33+88124985.9/423</f>
        <v>4583333.3199999994</v>
      </c>
      <c r="S52" s="431">
        <f>553011.29+6019459.2/423</f>
        <v>567241.69000000006</v>
      </c>
      <c r="T52" s="431">
        <f t="shared" ref="T52:T57" si="5">P52-R52</f>
        <v>416666.68000000063</v>
      </c>
      <c r="U52" s="431">
        <f>IF(M52=$B$145,T52,IF(M52=$B$147,T52*$C$147/$C$145,IF(M52=$B$146,T52*$C$146/$C$145,IF(M52=$B$144,T52/$C$145))))</f>
        <v>440707.93103863247</v>
      </c>
      <c r="V52" s="414" t="s">
        <v>82</v>
      </c>
      <c r="W52" s="651"/>
    </row>
    <row r="53" spans="1:24" ht="71.25" customHeight="1" outlineLevel="1" x14ac:dyDescent="0.25">
      <c r="A53" s="421">
        <v>30</v>
      </c>
      <c r="B53" s="565" t="s">
        <v>127</v>
      </c>
      <c r="C53" s="411" t="s">
        <v>128</v>
      </c>
      <c r="D53" s="420" t="s">
        <v>124</v>
      </c>
      <c r="E53" s="435" t="s">
        <v>35</v>
      </c>
      <c r="F53" s="436">
        <v>5000000</v>
      </c>
      <c r="G53" s="436">
        <f>3302053.81+58000+43500</f>
        <v>3403553.81</v>
      </c>
      <c r="H53" s="60" t="s">
        <v>126</v>
      </c>
      <c r="I53" s="436">
        <v>0</v>
      </c>
      <c r="J53" s="436">
        <f>G53-I53</f>
        <v>3403553.81</v>
      </c>
      <c r="K53" s="428" t="s">
        <v>341</v>
      </c>
      <c r="L53" s="428" t="s">
        <v>129</v>
      </c>
      <c r="M53" s="435" t="s">
        <v>35</v>
      </c>
      <c r="N53" s="49">
        <v>5000000</v>
      </c>
      <c r="O53" s="49">
        <f>IF(M53=$B$145,N53,IF(M53=$B$147,N53*$C$147/$C$145,IF(M53=$B$146,N53*$C$146/$C$145,IF(M53=$B$144,N53/$C$145))))</f>
        <v>5288495.0032317415</v>
      </c>
      <c r="P53" s="49">
        <v>5000000</v>
      </c>
      <c r="Q53" s="427" t="s">
        <v>126</v>
      </c>
      <c r="R53" s="49">
        <f>3125000+208333.33+88124985.9/423</f>
        <v>3541666.63</v>
      </c>
      <c r="S53" s="49">
        <f>320254.8+16091046.9/423</f>
        <v>358295.1</v>
      </c>
      <c r="T53" s="49">
        <f t="shared" si="5"/>
        <v>1458333.37</v>
      </c>
      <c r="U53" s="49">
        <f>IF(M53=$B$145,T53,IF(M53=$B$147,T53*$C$147/$C$145,IF(M53=$B$146,T53*$C$146/$C$145,IF(M53=$B$144,T53/$C$145))))</f>
        <v>1542477.7480582213</v>
      </c>
      <c r="V53" s="554" t="s">
        <v>82</v>
      </c>
      <c r="W53" s="652"/>
    </row>
    <row r="54" spans="1:24" ht="71.25" customHeight="1" outlineLevel="1" x14ac:dyDescent="0.25">
      <c r="A54" s="421">
        <v>31</v>
      </c>
      <c r="B54" s="566"/>
      <c r="C54" s="411"/>
      <c r="D54" s="420"/>
      <c r="E54" s="435"/>
      <c r="F54" s="436"/>
      <c r="G54" s="436"/>
      <c r="H54" s="60"/>
      <c r="I54" s="436"/>
      <c r="J54" s="436"/>
      <c r="K54" s="428"/>
      <c r="L54" s="428"/>
      <c r="M54" s="82" t="s">
        <v>3</v>
      </c>
      <c r="N54" s="49"/>
      <c r="O54" s="49"/>
      <c r="P54" s="49">
        <v>66094595</v>
      </c>
      <c r="Q54" s="427"/>
      <c r="R54" s="49">
        <f>6609471.44+6609433.4+6609473.7</f>
        <v>19828378.539999999</v>
      </c>
      <c r="S54" s="49">
        <f>1088882.59773529+1190830.4</f>
        <v>2279712.9977352899</v>
      </c>
      <c r="T54" s="49">
        <f t="shared" si="5"/>
        <v>46266216.460000001</v>
      </c>
      <c r="U54" s="49">
        <f>IF(M54=$B$145,T54,IF(M54=$B$147,T54*$C$147/$C$145,IF(M54=$B$146,T54*$C$146/$C$145,IF(M54=$B$144,T54/$C$145))))</f>
        <v>115015.70243126337</v>
      </c>
      <c r="V54" s="555"/>
      <c r="W54" s="652"/>
    </row>
    <row r="55" spans="1:24" ht="55.5" customHeight="1" outlineLevel="1" x14ac:dyDescent="0.25">
      <c r="A55" s="433">
        <v>32</v>
      </c>
      <c r="B55" s="440" t="s">
        <v>130</v>
      </c>
      <c r="C55" s="434" t="s">
        <v>131</v>
      </c>
      <c r="D55" s="439" t="s">
        <v>132</v>
      </c>
      <c r="E55" s="435" t="s">
        <v>35</v>
      </c>
      <c r="F55" s="436">
        <v>5000000</v>
      </c>
      <c r="G55" s="436">
        <v>5000000</v>
      </c>
      <c r="H55" s="60" t="s">
        <v>467</v>
      </c>
      <c r="I55" s="52"/>
      <c r="J55" s="436">
        <f>G55-I55</f>
        <v>5000000</v>
      </c>
      <c r="K55" s="438" t="s">
        <v>342</v>
      </c>
      <c r="L55" s="438" t="s">
        <v>133</v>
      </c>
      <c r="M55" s="435" t="s">
        <v>35</v>
      </c>
      <c r="N55" s="49">
        <v>5000000</v>
      </c>
      <c r="O55" s="49">
        <f>IF(M55=$B$145,N55,IF(M55=$B$147,N55*$C$147/$C$145,IF(M55=$B$146,N55*$C$146/$C$145,IF(M55=$B$144,N55/$C$145))))</f>
        <v>5288495.0032317415</v>
      </c>
      <c r="P55" s="49">
        <v>5000000</v>
      </c>
      <c r="Q55" s="60" t="s">
        <v>126</v>
      </c>
      <c r="R55" s="49">
        <f>3227272.74+97124988.4/427.35+96136352.1/423</f>
        <v>3681818.1401287005</v>
      </c>
      <c r="S55" s="49">
        <v>475298.33641151118</v>
      </c>
      <c r="T55" s="49">
        <f t="shared" si="5"/>
        <v>1318181.8598712995</v>
      </c>
      <c r="U55" s="49">
        <f>IF(M55=$B$145,T55,IF(M55=$B$147,T55*$C$147/$C$145,IF(M55=$B$146,T55*$C$146/$C$145,IF(M55=$B$144,T55/$C$145))))</f>
        <v>1394239.6358560182</v>
      </c>
      <c r="V55" s="58" t="s">
        <v>82</v>
      </c>
      <c r="W55" s="652"/>
    </row>
    <row r="56" spans="1:24" ht="57" customHeight="1" outlineLevel="1" x14ac:dyDescent="0.25">
      <c r="A56" s="556">
        <v>33</v>
      </c>
      <c r="B56" s="565" t="s">
        <v>134</v>
      </c>
      <c r="C56" s="557" t="s">
        <v>135</v>
      </c>
      <c r="D56" s="420" t="s">
        <v>132</v>
      </c>
      <c r="E56" s="82" t="s">
        <v>35</v>
      </c>
      <c r="F56" s="445">
        <v>5000000</v>
      </c>
      <c r="G56" s="445">
        <v>2000000</v>
      </c>
      <c r="H56" s="427" t="s">
        <v>468</v>
      </c>
      <c r="I56" s="445">
        <v>0</v>
      </c>
      <c r="J56" s="445">
        <f>G56-I56</f>
        <v>2000000</v>
      </c>
      <c r="K56" s="428" t="s">
        <v>343</v>
      </c>
      <c r="L56" s="428" t="s">
        <v>136</v>
      </c>
      <c r="M56" s="82" t="s">
        <v>35</v>
      </c>
      <c r="N56" s="430">
        <v>5000000</v>
      </c>
      <c r="O56" s="430">
        <f>IF(M56=$B$145,N56,IF(M56=$B$147,N56*$C$147/$C$145,IF(M56=$B$146,N56*$C$146/$C$145,IF(M56=$B$144,N56/$C$145))))</f>
        <v>5288495.0032317415</v>
      </c>
      <c r="P56" s="49">
        <v>3000000</v>
      </c>
      <c r="Q56" s="79" t="s">
        <v>290</v>
      </c>
      <c r="R56" s="49">
        <f>676724.137931034+46797420.6/423</f>
        <v>787356.33793103392</v>
      </c>
      <c r="S56" s="49">
        <f>222742.9+6254858.7/423</f>
        <v>237529.8</v>
      </c>
      <c r="T56" s="430">
        <f t="shared" si="5"/>
        <v>2212643.6620689658</v>
      </c>
      <c r="U56" s="430">
        <f>IF(M56=$B$145,T56,IF(M56=$B$147,T56*$C$147/$C$145,IF(M56=$B$146,T56*$C$146/$C$145,IF(M56=$B$144,T56/$C$145))))</f>
        <v>2340310.9901568214</v>
      </c>
      <c r="V56" s="554" t="s">
        <v>82</v>
      </c>
      <c r="W56" s="652"/>
    </row>
    <row r="57" spans="1:24" ht="57" customHeight="1" outlineLevel="1" thickBot="1" x14ac:dyDescent="0.3">
      <c r="A57" s="585"/>
      <c r="B57" s="586"/>
      <c r="C57" s="587"/>
      <c r="D57" s="420" t="s">
        <v>132</v>
      </c>
      <c r="E57" s="82" t="s">
        <v>35</v>
      </c>
      <c r="F57" s="445">
        <v>5000000</v>
      </c>
      <c r="G57" s="445">
        <v>2000000</v>
      </c>
      <c r="H57" s="427" t="s">
        <v>468</v>
      </c>
      <c r="I57" s="445">
        <v>0</v>
      </c>
      <c r="J57" s="445">
        <f>G57-I57</f>
        <v>2000000</v>
      </c>
      <c r="K57" s="428" t="s">
        <v>343</v>
      </c>
      <c r="L57" s="428" t="s">
        <v>273</v>
      </c>
      <c r="M57" s="82" t="s">
        <v>3</v>
      </c>
      <c r="N57" s="430"/>
      <c r="O57" s="430">
        <f>IF(M57=$B$145,N57,IF(M57=$B$147,N57*$C$147/$C$145,IF(M57=$B$146,N57*$C$146/$C$145,IF(M57=$B$144,N57/$C$145))))</f>
        <v>0</v>
      </c>
      <c r="P57" s="49">
        <v>69055257.109999999</v>
      </c>
      <c r="Q57" s="79">
        <v>1.404E-2</v>
      </c>
      <c r="R57" s="49">
        <f>9751561.92837819+3148517</f>
        <v>12900078.928378191</v>
      </c>
      <c r="S57" s="49">
        <f>1328413.8+491137.6</f>
        <v>1819551.4</v>
      </c>
      <c r="T57" s="430">
        <f t="shared" si="5"/>
        <v>56155178.181621805</v>
      </c>
      <c r="U57" s="430">
        <f>IF(M57=$B$145,T57,IF(M57=$B$147,T57*$C$147/$C$145,IF(M57=$B$146,T57*$C$146/$C$145,IF(M57=$B$144,T57/$C$145))))</f>
        <v>139599.2099180177</v>
      </c>
      <c r="V57" s="588"/>
      <c r="W57" s="653"/>
    </row>
    <row r="58" spans="1:24" s="20" customFormat="1" ht="15" customHeight="1" x14ac:dyDescent="0.25">
      <c r="A58" s="590" t="s">
        <v>137</v>
      </c>
      <c r="B58" s="591"/>
      <c r="C58" s="591"/>
      <c r="D58" s="594" t="s">
        <v>35</v>
      </c>
      <c r="E58" s="594"/>
      <c r="F58" s="594"/>
      <c r="G58" s="594"/>
      <c r="H58" s="594"/>
      <c r="I58" s="594"/>
      <c r="J58" s="594"/>
      <c r="K58" s="594"/>
      <c r="L58" s="594"/>
      <c r="M58" s="95"/>
      <c r="N58" s="21">
        <f>SUMIF($M$52:$M$57,D58,$N$52:$N$57)</f>
        <v>20000000</v>
      </c>
      <c r="O58" s="24"/>
      <c r="P58" s="21">
        <f>SUMIF($M$52:$M$57,D58,$P$52:$P$57)</f>
        <v>18000000</v>
      </c>
      <c r="Q58" s="24"/>
      <c r="R58" s="21">
        <f>SUMIF($M$52:$M$57,D58,$R$52:$R$57)</f>
        <v>12594174.428059733</v>
      </c>
      <c r="S58" s="21">
        <f>SUMIF($M$52:$M$57,D58,$S$52:$S$57)</f>
        <v>1638364.9264115111</v>
      </c>
      <c r="T58" s="21">
        <f>SUMIF($M$52:$M$57,D58,$T$52:$T$57)</f>
        <v>5405825.5719402656</v>
      </c>
      <c r="U58" s="24"/>
      <c r="V58" s="96"/>
      <c r="W58" s="651"/>
      <c r="X58" s="19"/>
    </row>
    <row r="59" spans="1:24" s="20" customFormat="1" ht="15" customHeight="1" x14ac:dyDescent="0.25">
      <c r="A59" s="592"/>
      <c r="B59" s="593"/>
      <c r="C59" s="593"/>
      <c r="D59" s="595" t="s">
        <v>3</v>
      </c>
      <c r="E59" s="595"/>
      <c r="F59" s="595"/>
      <c r="G59" s="595"/>
      <c r="H59" s="595"/>
      <c r="I59" s="595"/>
      <c r="J59" s="595"/>
      <c r="K59" s="595"/>
      <c r="L59" s="595"/>
      <c r="M59" s="97"/>
      <c r="N59" s="22">
        <f>SUMIF($M$52:$M$57,D59,$N$52:$N$57)</f>
        <v>0</v>
      </c>
      <c r="O59" s="22"/>
      <c r="P59" s="22">
        <f>SUMIF($M$52:$M$57,D59,$P$52:$P$57)</f>
        <v>135149852.11000001</v>
      </c>
      <c r="Q59" s="22"/>
      <c r="R59" s="22">
        <f>SUMIF($M$52:$M$57,D59,$R$52:$R$57)</f>
        <v>32728457.46837819</v>
      </c>
      <c r="S59" s="22">
        <f>SUMIF($M$52:$M$57,D59,$S$52:$S$57)</f>
        <v>4099264.3977352898</v>
      </c>
      <c r="T59" s="22">
        <f>SUMIF($M$52:$M$57,D59,$T$52:$T$57)</f>
        <v>102421394.6416218</v>
      </c>
      <c r="U59" s="22"/>
      <c r="V59" s="98"/>
      <c r="W59" s="652"/>
      <c r="X59" s="19"/>
    </row>
    <row r="60" spans="1:24" s="20" customFormat="1" ht="15" customHeight="1" x14ac:dyDescent="0.25">
      <c r="A60" s="592"/>
      <c r="B60" s="593"/>
      <c r="C60" s="593"/>
      <c r="D60" s="595" t="s">
        <v>57</v>
      </c>
      <c r="E60" s="595"/>
      <c r="F60" s="595"/>
      <c r="G60" s="595"/>
      <c r="H60" s="595"/>
      <c r="I60" s="595"/>
      <c r="J60" s="595"/>
      <c r="K60" s="595"/>
      <c r="L60" s="595"/>
      <c r="M60" s="97"/>
      <c r="N60" s="22">
        <f>SUMIF($M$52:$M$57,D60,$N$52:$N$57)</f>
        <v>0</v>
      </c>
      <c r="O60" s="22">
        <f>SUM(O52:O57)</f>
        <v>21153980.012926966</v>
      </c>
      <c r="P60" s="22">
        <f>SUMIF($M$52:$M$57,D60,$P$52:$P$57)</f>
        <v>0</v>
      </c>
      <c r="Q60" s="22"/>
      <c r="R60" s="22">
        <f>SUMIF($M$52:$M$57,D60,$R$52:$R$57)</f>
        <v>0</v>
      </c>
      <c r="S60" s="22">
        <f>SUMIF($M$52:$M$57,D60,$S$52:$S$57)</f>
        <v>0</v>
      </c>
      <c r="T60" s="22">
        <f>SUMIF($M$52:$M$57,D60,$T$52:$T$57)</f>
        <v>0</v>
      </c>
      <c r="U60" s="22">
        <f>SUM(U52:U57)</f>
        <v>5972351.2174589736</v>
      </c>
      <c r="V60" s="98"/>
      <c r="W60" s="652"/>
      <c r="X60" s="19"/>
    </row>
    <row r="61" spans="1:24" s="20" customFormat="1" ht="15" customHeight="1" thickBot="1" x14ac:dyDescent="0.3">
      <c r="A61" s="604"/>
      <c r="B61" s="605"/>
      <c r="C61" s="605"/>
      <c r="D61" s="606" t="s">
        <v>77</v>
      </c>
      <c r="E61" s="606"/>
      <c r="F61" s="606"/>
      <c r="G61" s="606"/>
      <c r="H61" s="606"/>
      <c r="I61" s="606"/>
      <c r="J61" s="606"/>
      <c r="K61" s="606"/>
      <c r="L61" s="606"/>
      <c r="M61" s="102"/>
      <c r="N61" s="23">
        <f>SUMIF($M$52:$M$57,D61,$N$52:$N$57)</f>
        <v>0</v>
      </c>
      <c r="O61" s="23"/>
      <c r="P61" s="23">
        <f>SUMIF($M$52:$M$57,D61,$P$52:$P$57)</f>
        <v>0</v>
      </c>
      <c r="Q61" s="23"/>
      <c r="R61" s="23">
        <f>SUMIF($M$52:$M$57,D61,$R$52:$R$57)</f>
        <v>0</v>
      </c>
      <c r="S61" s="23">
        <f>SUMIF($M$52:$M$57,D61,$S$52:$S$57)</f>
        <v>0</v>
      </c>
      <c r="T61" s="23">
        <f>SUMIF($M$52:$M$57,D61,$T$52:$T$57)</f>
        <v>0</v>
      </c>
      <c r="U61" s="23"/>
      <c r="V61" s="103"/>
      <c r="W61" s="653"/>
      <c r="X61" s="19"/>
    </row>
    <row r="62" spans="1:24" s="13" customFormat="1" ht="91.5" customHeight="1" outlineLevel="1" x14ac:dyDescent="0.25">
      <c r="A62" s="433">
        <v>34</v>
      </c>
      <c r="B62" s="434" t="s">
        <v>138</v>
      </c>
      <c r="C62" s="434" t="s">
        <v>139</v>
      </c>
      <c r="D62" s="434" t="s">
        <v>107</v>
      </c>
      <c r="E62" s="434"/>
      <c r="F62" s="434"/>
      <c r="G62" s="434"/>
      <c r="H62" s="434"/>
      <c r="I62" s="434"/>
      <c r="J62" s="434"/>
      <c r="K62" s="108" t="s">
        <v>344</v>
      </c>
      <c r="L62" s="434" t="s">
        <v>140</v>
      </c>
      <c r="M62" s="434" t="s">
        <v>3</v>
      </c>
      <c r="N62" s="49">
        <v>74000000000</v>
      </c>
      <c r="O62" s="49">
        <f t="shared" ref="O62:O68" si="6">IF(M62=$B$145,N62,IF(M62=$B$147,N62*$C$147/$C$145,IF(M62=$B$146,N62*$C$146/$C$145,IF(M62=$B$144,N62/$C$145))))</f>
        <v>183960622.48297122</v>
      </c>
      <c r="P62" s="49">
        <v>74000000000</v>
      </c>
      <c r="Q62" s="60" t="s">
        <v>141</v>
      </c>
      <c r="R62" s="49">
        <f>38761904762.2+1761904761.9+1761904761.9+1761904761.9+1761904761.9+1761904761.9+1761904761.9+1761904761.9+1761904761.9+1761904761.9+1761904761.9+1761904761.9+1761904761.9+1761904761.9+1761904761.9</f>
        <v>63428571428.800018</v>
      </c>
      <c r="S62" s="49">
        <f>27000442621.6+339655076+452522803+1282602.5+1775075.4+2158135.7+3391292+3227331.6+129991976+1018964.4+2022668.8+2554945+3417201</f>
        <v>27943460693</v>
      </c>
      <c r="T62" s="436">
        <f>P62-R62</f>
        <v>10571428571.199982</v>
      </c>
      <c r="U62" s="49">
        <f>IF(M62=$B$145,T62,IF(M62=$B$147,T62*$C$147/$C$145,IF(M62=$B$146,T62*$C$146/$C$145,IF(M62=$B$144,T62/$C$145))))</f>
        <v>26280088.925570481</v>
      </c>
      <c r="V62" s="58" t="s">
        <v>82</v>
      </c>
      <c r="W62" s="655" t="s">
        <v>487</v>
      </c>
      <c r="X62" s="12"/>
    </row>
    <row r="63" spans="1:24" s="13" customFormat="1" ht="91.5" customHeight="1" outlineLevel="1" x14ac:dyDescent="0.25">
      <c r="A63" s="433">
        <v>35</v>
      </c>
      <c r="B63" s="434" t="s">
        <v>138</v>
      </c>
      <c r="C63" s="434" t="s">
        <v>142</v>
      </c>
      <c r="D63" s="434" t="s">
        <v>291</v>
      </c>
      <c r="E63" s="434"/>
      <c r="F63" s="434"/>
      <c r="G63" s="434"/>
      <c r="H63" s="434"/>
      <c r="I63" s="434"/>
      <c r="J63" s="434"/>
      <c r="K63" s="108" t="s">
        <v>345</v>
      </c>
      <c r="L63" s="434" t="s">
        <v>143</v>
      </c>
      <c r="M63" s="434" t="s">
        <v>3</v>
      </c>
      <c r="N63" s="49">
        <v>2035890300</v>
      </c>
      <c r="O63" s="49">
        <f t="shared" si="6"/>
        <v>5061130.3634465272</v>
      </c>
      <c r="P63" s="49">
        <v>2035890300</v>
      </c>
      <c r="Q63" s="60" t="s">
        <v>50</v>
      </c>
      <c r="R63" s="49">
        <v>0</v>
      </c>
      <c r="S63" s="49">
        <v>0</v>
      </c>
      <c r="T63" s="436">
        <f t="shared" ref="T63:T68" si="7">P63-R63</f>
        <v>2035890300</v>
      </c>
      <c r="U63" s="49">
        <f>IF(M63=$B$145,T63,IF(M63=$B$147,T63*$C$147/$C$145,IF(M63=$B$146,T63*$C$146/$C$145,IF(M63=$B$144,T63/$C$145))))</f>
        <v>5061130.3634465272</v>
      </c>
      <c r="V63" s="58" t="s">
        <v>82</v>
      </c>
      <c r="W63" s="652"/>
      <c r="X63" s="12"/>
    </row>
    <row r="64" spans="1:24" ht="121.5" outlineLevel="1" x14ac:dyDescent="0.25">
      <c r="A64" s="422">
        <v>36</v>
      </c>
      <c r="B64" s="440" t="s">
        <v>144</v>
      </c>
      <c r="C64" s="434" t="s">
        <v>145</v>
      </c>
      <c r="D64" s="439" t="s">
        <v>33</v>
      </c>
      <c r="E64" s="435" t="s">
        <v>35</v>
      </c>
      <c r="F64" s="436">
        <v>3500000</v>
      </c>
      <c r="G64" s="436">
        <v>3500000</v>
      </c>
      <c r="H64" s="60">
        <v>7.4999999999999997E-3</v>
      </c>
      <c r="I64" s="52">
        <v>0</v>
      </c>
      <c r="J64" s="436">
        <f>G64-I64</f>
        <v>3500000</v>
      </c>
      <c r="K64" s="438" t="s">
        <v>346</v>
      </c>
      <c r="L64" s="439" t="s">
        <v>146</v>
      </c>
      <c r="M64" s="435" t="s">
        <v>35</v>
      </c>
      <c r="N64" s="49">
        <v>3500000</v>
      </c>
      <c r="O64" s="49">
        <f t="shared" si="6"/>
        <v>3701946.5022622184</v>
      </c>
      <c r="P64" s="49">
        <v>3500000</v>
      </c>
      <c r="Q64" s="60">
        <v>7.4999999999999997E-3</v>
      </c>
      <c r="R64" s="49">
        <f>696000+31440060/542.07+58000+24255020/418.19+24400600/420.7</f>
        <v>928000</v>
      </c>
      <c r="S64" s="49">
        <f>399592.922231146+10515+10297.5+4215355.2/418.19+4149153.8/420.7</f>
        <v>440347.92234999558</v>
      </c>
      <c r="T64" s="436">
        <f t="shared" si="7"/>
        <v>2572000</v>
      </c>
      <c r="U64" s="49">
        <f>IF(M64=$B$145,T64,IF(M64=$B$147,T64*$C$147/$C$145,IF(M64=$B$146,T64*$C$146/$C$145,IF(M64=$B$144,T64/$C$145))))</f>
        <v>2720401.8296624073</v>
      </c>
      <c r="V64" s="58" t="s">
        <v>82</v>
      </c>
      <c r="W64" s="652"/>
    </row>
    <row r="65" spans="1:24" ht="69" customHeight="1" outlineLevel="1" x14ac:dyDescent="0.25">
      <c r="A65" s="433">
        <v>37</v>
      </c>
      <c r="B65" s="440" t="s">
        <v>147</v>
      </c>
      <c r="C65" s="434" t="s">
        <v>148</v>
      </c>
      <c r="D65" s="434" t="s">
        <v>149</v>
      </c>
      <c r="E65" s="441" t="s">
        <v>463</v>
      </c>
      <c r="F65" s="80">
        <v>1173750</v>
      </c>
      <c r="G65" s="80">
        <v>1109413</v>
      </c>
      <c r="H65" s="437"/>
      <c r="I65" s="80"/>
      <c r="J65" s="80"/>
      <c r="K65" s="441" t="s">
        <v>347</v>
      </c>
      <c r="L65" s="439" t="s">
        <v>150</v>
      </c>
      <c r="M65" s="435" t="s">
        <v>57</v>
      </c>
      <c r="N65" s="436">
        <v>1689937.9</v>
      </c>
      <c r="O65" s="49">
        <f t="shared" si="6"/>
        <v>1689937.9</v>
      </c>
      <c r="P65" s="49">
        <v>1689937.9</v>
      </c>
      <c r="Q65" s="437">
        <v>5.9900000000000002E-2</v>
      </c>
      <c r="R65" s="49">
        <f>872805.23+28165</f>
        <v>900970.23</v>
      </c>
      <c r="S65" s="49">
        <f>1964862.47+25588.58</f>
        <v>1990451.05</v>
      </c>
      <c r="T65" s="436">
        <f t="shared" si="7"/>
        <v>788967.66999999993</v>
      </c>
      <c r="U65" s="49">
        <f>IF(M65=$B$145,T65,IF(M65=$B$147,T65*$C$147/$C$145,IF(M65=$B$146,T65*$C$146/$C$145,IF(M65=$B$144,T65/$C$145))))</f>
        <v>788967.66999999993</v>
      </c>
      <c r="V65" s="109" t="s">
        <v>82</v>
      </c>
      <c r="W65" s="652"/>
    </row>
    <row r="66" spans="1:24" ht="69.75" customHeight="1" outlineLevel="1" x14ac:dyDescent="0.25">
      <c r="A66" s="422">
        <v>38</v>
      </c>
      <c r="B66" s="440" t="s">
        <v>151</v>
      </c>
      <c r="C66" s="434" t="s">
        <v>152</v>
      </c>
      <c r="D66" s="434" t="s">
        <v>149</v>
      </c>
      <c r="E66" s="435" t="s">
        <v>57</v>
      </c>
      <c r="F66" s="80">
        <v>2828000</v>
      </c>
      <c r="G66" s="80">
        <v>2828000</v>
      </c>
      <c r="H66" s="437"/>
      <c r="I66" s="80"/>
      <c r="J66" s="80"/>
      <c r="K66" s="441" t="s">
        <v>348</v>
      </c>
      <c r="L66" s="439" t="s">
        <v>153</v>
      </c>
      <c r="M66" s="435" t="s">
        <v>57</v>
      </c>
      <c r="N66" s="436">
        <v>2828000</v>
      </c>
      <c r="O66" s="49">
        <f t="shared" si="6"/>
        <v>2828000</v>
      </c>
      <c r="P66" s="49">
        <v>2828000</v>
      </c>
      <c r="Q66" s="437">
        <v>5.9900000000000002E-2</v>
      </c>
      <c r="R66" s="436">
        <f>1128831.5+47000</f>
        <v>1175831.5</v>
      </c>
      <c r="S66" s="49">
        <f>1731608.85+50775.51</f>
        <v>1782384.36</v>
      </c>
      <c r="T66" s="436">
        <f t="shared" si="7"/>
        <v>1652168.5</v>
      </c>
      <c r="U66" s="49">
        <f>IF(M66=$B$145,T66,IF(M66=$B$147,T66*$C$147/$C$145,IF(M66=$B$146,T66*$C$146/$C$145,IF(M66=$B$144,T66/$C$145))))</f>
        <v>1652168.5</v>
      </c>
      <c r="V66" s="109" t="s">
        <v>82</v>
      </c>
      <c r="W66" s="652"/>
    </row>
    <row r="67" spans="1:24" s="15" customFormat="1" ht="177" customHeight="1" outlineLevel="1" x14ac:dyDescent="0.25">
      <c r="A67" s="433">
        <v>39</v>
      </c>
      <c r="B67" s="440" t="s">
        <v>154</v>
      </c>
      <c r="C67" s="434" t="s">
        <v>155</v>
      </c>
      <c r="D67" s="434" t="s">
        <v>149</v>
      </c>
      <c r="E67" s="441" t="s">
        <v>463</v>
      </c>
      <c r="F67" s="80">
        <v>7900000</v>
      </c>
      <c r="G67" s="110"/>
      <c r="H67" s="110"/>
      <c r="I67" s="110"/>
      <c r="J67" s="110"/>
      <c r="K67" s="439" t="s">
        <v>349</v>
      </c>
      <c r="L67" s="439" t="s">
        <v>156</v>
      </c>
      <c r="M67" s="434" t="s">
        <v>3</v>
      </c>
      <c r="N67" s="111">
        <v>2092000000</v>
      </c>
      <c r="O67" s="49">
        <f t="shared" si="6"/>
        <v>5200616.5166807538</v>
      </c>
      <c r="P67" s="49">
        <v>2092000000</v>
      </c>
      <c r="Q67" s="112">
        <v>0.02</v>
      </c>
      <c r="R67" s="49">
        <f>354576270+35457627.1+35457627</f>
        <v>425491524.10000002</v>
      </c>
      <c r="S67" s="49">
        <f>426427783.87+17517039.3+16879773.4</f>
        <v>460824596.56999999</v>
      </c>
      <c r="T67" s="436">
        <f t="shared" si="7"/>
        <v>1666508475.9000001</v>
      </c>
      <c r="U67" s="49">
        <f>IF(M67=$B$145,T67,IF(M67=$B$147,T67*$C$147/$C$145,IF(M67=$B$146,T67*$C$146/$C$145,IF(M67=$B$144,T67/$C$145))))</f>
        <v>4142864.0081042117</v>
      </c>
      <c r="V67" s="109" t="s">
        <v>82</v>
      </c>
      <c r="W67" s="652"/>
      <c r="X67" s="14"/>
    </row>
    <row r="68" spans="1:24" s="15" customFormat="1" ht="169.5" customHeight="1" outlineLevel="1" thickBot="1" x14ac:dyDescent="0.3">
      <c r="A68" s="422">
        <v>40</v>
      </c>
      <c r="B68" s="440" t="s">
        <v>154</v>
      </c>
      <c r="C68" s="434" t="s">
        <v>157</v>
      </c>
      <c r="D68" s="434" t="s">
        <v>149</v>
      </c>
      <c r="E68" s="441"/>
      <c r="F68" s="80"/>
      <c r="G68" s="110"/>
      <c r="H68" s="110"/>
      <c r="I68" s="110"/>
      <c r="J68" s="110"/>
      <c r="K68" s="439" t="s">
        <v>350</v>
      </c>
      <c r="L68" s="439" t="s">
        <v>158</v>
      </c>
      <c r="M68" s="439" t="s">
        <v>3</v>
      </c>
      <c r="N68" s="111">
        <v>2187306400</v>
      </c>
      <c r="O68" s="49">
        <f t="shared" si="6"/>
        <v>5437543.8770944169</v>
      </c>
      <c r="P68" s="111">
        <v>2187306400</v>
      </c>
      <c r="Q68" s="112">
        <v>0.03</v>
      </c>
      <c r="R68" s="49">
        <v>0</v>
      </c>
      <c r="S68" s="49">
        <f>224789707.9+33079263.9+32539928.1</f>
        <v>290408899.90000004</v>
      </c>
      <c r="T68" s="436">
        <f t="shared" si="7"/>
        <v>2187306400</v>
      </c>
      <c r="U68" s="49">
        <f>IF(M68=$B$145,T68,IF(M68=$B$147,T68*$C$147/$C$145,IF(M68=$B$146,T68*$C$146/$C$145,IF(M68=$B$144,T68/$C$145))))</f>
        <v>5437543.8770944169</v>
      </c>
      <c r="V68" s="109" t="s">
        <v>82</v>
      </c>
      <c r="W68" s="653"/>
      <c r="X68" s="14"/>
    </row>
    <row r="69" spans="1:24" s="20" customFormat="1" ht="15" customHeight="1" x14ac:dyDescent="0.25">
      <c r="A69" s="590" t="s">
        <v>159</v>
      </c>
      <c r="B69" s="591"/>
      <c r="C69" s="591"/>
      <c r="D69" s="594" t="s">
        <v>35</v>
      </c>
      <c r="E69" s="594"/>
      <c r="F69" s="594"/>
      <c r="G69" s="594"/>
      <c r="H69" s="594"/>
      <c r="I69" s="594"/>
      <c r="J69" s="594"/>
      <c r="K69" s="594"/>
      <c r="L69" s="594"/>
      <c r="M69" s="95"/>
      <c r="N69" s="24">
        <f>SUMIF($M$62:$M$68,D69,$N$62:$N$68)</f>
        <v>3500000</v>
      </c>
      <c r="O69" s="24"/>
      <c r="P69" s="24">
        <f>SUMIF($M$62:$M$68,D69,$P$62:$P$68)</f>
        <v>3500000</v>
      </c>
      <c r="Q69" s="24"/>
      <c r="R69" s="24">
        <f>SUMIF($M$62:$M$68,D69,$R$62:$R$68)</f>
        <v>928000</v>
      </c>
      <c r="S69" s="24">
        <f>SUMIF($M$62:$M$68,D69,$S$62:$S$68)</f>
        <v>440347.92234999558</v>
      </c>
      <c r="T69" s="24">
        <f>SUMIF($M$62:$M$68,D69,$T$62:$T$68)</f>
        <v>2572000</v>
      </c>
      <c r="U69" s="24"/>
      <c r="V69" s="96"/>
      <c r="W69" s="651"/>
      <c r="X69" s="19"/>
    </row>
    <row r="70" spans="1:24" s="20" customFormat="1" ht="15" customHeight="1" x14ac:dyDescent="0.25">
      <c r="A70" s="592"/>
      <c r="B70" s="593"/>
      <c r="C70" s="593"/>
      <c r="D70" s="595" t="s">
        <v>3</v>
      </c>
      <c r="E70" s="595"/>
      <c r="F70" s="595"/>
      <c r="G70" s="595"/>
      <c r="H70" s="595"/>
      <c r="I70" s="595"/>
      <c r="J70" s="595"/>
      <c r="K70" s="595"/>
      <c r="L70" s="595"/>
      <c r="M70" s="97"/>
      <c r="N70" s="22">
        <f>SUMIF($M$62:$M$68,D70,$N$62:$N$68)</f>
        <v>80315196700</v>
      </c>
      <c r="O70" s="22"/>
      <c r="P70" s="22">
        <f>SUMIF($M$62:$M$68,D70,$P$62:$P$68)</f>
        <v>80315196700</v>
      </c>
      <c r="Q70" s="22"/>
      <c r="R70" s="22">
        <f>SUMIF($M$62:$M$68,D70,$R$62:$R$68)</f>
        <v>63854062952.900017</v>
      </c>
      <c r="S70" s="22">
        <f>SUMIF($M$62:$M$68,D70,$S$62:$S$68)</f>
        <v>28694694189.470001</v>
      </c>
      <c r="T70" s="22">
        <f>SUMIF($M$62:$M$68,D70,$T$62:$T$68)</f>
        <v>16461133747.099981</v>
      </c>
      <c r="U70" s="22"/>
      <c r="V70" s="98"/>
      <c r="W70" s="652"/>
      <c r="X70" s="19"/>
    </row>
    <row r="71" spans="1:24" s="20" customFormat="1" ht="15" customHeight="1" x14ac:dyDescent="0.25">
      <c r="A71" s="592"/>
      <c r="B71" s="593"/>
      <c r="C71" s="593"/>
      <c r="D71" s="595" t="s">
        <v>57</v>
      </c>
      <c r="E71" s="595"/>
      <c r="F71" s="595"/>
      <c r="G71" s="595"/>
      <c r="H71" s="595"/>
      <c r="I71" s="595"/>
      <c r="J71" s="595"/>
      <c r="K71" s="595"/>
      <c r="L71" s="595"/>
      <c r="M71" s="97"/>
      <c r="N71" s="22">
        <f>SUMIF($M$62:$M$68,D71,$N$62:$N$68)</f>
        <v>4517937.9000000004</v>
      </c>
      <c r="O71" s="22">
        <f>SUM(O62:O68)</f>
        <v>207879797.64245513</v>
      </c>
      <c r="P71" s="22">
        <f>SUMIF($M$62:$M$68,D71,$P$62:$P$68)</f>
        <v>4517937.9000000004</v>
      </c>
      <c r="Q71" s="22"/>
      <c r="R71" s="22">
        <f>SUMIF($M$62:$M$68,D71,$R$62:$R$68)</f>
        <v>2076801.73</v>
      </c>
      <c r="S71" s="22">
        <f>SUMIF($M$62:$M$68,D71,$S$62:$S$68)</f>
        <v>3772835.41</v>
      </c>
      <c r="T71" s="22">
        <f>SUMIF($M$62:$M$68,D71,$T$62:$T$68)</f>
        <v>2441136.17</v>
      </c>
      <c r="U71" s="22">
        <f>SUM(U62:U68)</f>
        <v>46083165.173878044</v>
      </c>
      <c r="V71" s="98"/>
      <c r="W71" s="652"/>
      <c r="X71" s="19"/>
    </row>
    <row r="72" spans="1:24" s="20" customFormat="1" ht="15" thickBot="1" x14ac:dyDescent="0.3">
      <c r="A72" s="604"/>
      <c r="B72" s="605"/>
      <c r="C72" s="605"/>
      <c r="D72" s="606" t="s">
        <v>77</v>
      </c>
      <c r="E72" s="606"/>
      <c r="F72" s="606"/>
      <c r="G72" s="606"/>
      <c r="H72" s="606"/>
      <c r="I72" s="606"/>
      <c r="J72" s="606"/>
      <c r="K72" s="606"/>
      <c r="L72" s="606"/>
      <c r="M72" s="102"/>
      <c r="N72" s="23">
        <f>SUMIF($M$62:$M$68,D72,$N$62:$N$68)</f>
        <v>0</v>
      </c>
      <c r="O72" s="23"/>
      <c r="P72" s="23">
        <f>SUMIF($M$62:$M$68,D72,$P$62:$P$68)</f>
        <v>0</v>
      </c>
      <c r="Q72" s="23"/>
      <c r="R72" s="23">
        <f>SUMIF($M$62:$M$68,D72,$R$62:$R$68)</f>
        <v>0</v>
      </c>
      <c r="S72" s="23">
        <f>SUMIF($M$62:$M$68,D72,$S$62:$S$68)</f>
        <v>0</v>
      </c>
      <c r="T72" s="23">
        <f>SUMIF($M$62:$M$68,D72,$T$62:$T$68)</f>
        <v>0</v>
      </c>
      <c r="U72" s="23"/>
      <c r="V72" s="103"/>
      <c r="W72" s="653"/>
      <c r="X72" s="19"/>
    </row>
    <row r="73" spans="1:24" s="13" customFormat="1" ht="77.25" customHeight="1" outlineLevel="1" x14ac:dyDescent="0.25">
      <c r="A73" s="433">
        <v>41</v>
      </c>
      <c r="B73" s="440" t="s">
        <v>160</v>
      </c>
      <c r="C73" s="434" t="s">
        <v>161</v>
      </c>
      <c r="D73" s="434" t="s">
        <v>99</v>
      </c>
      <c r="E73" s="434"/>
      <c r="F73" s="434"/>
      <c r="G73" s="434"/>
      <c r="H73" s="434"/>
      <c r="I73" s="434"/>
      <c r="J73" s="434"/>
      <c r="K73" s="434" t="s">
        <v>351</v>
      </c>
      <c r="L73" s="434" t="s">
        <v>162</v>
      </c>
      <c r="M73" s="435" t="s">
        <v>57</v>
      </c>
      <c r="N73" s="49">
        <v>361332</v>
      </c>
      <c r="O73" s="49">
        <f t="shared" ref="O73:O78" si="8">IF(M73=$B$145,N73,IF(M73=$B$147,N73*$C$147/$C$145,IF(M73=$B$146,N73*$C$146/$C$145,IF(M73=$B$144,N73/$C$145))))</f>
        <v>361332</v>
      </c>
      <c r="P73" s="49">
        <v>361332</v>
      </c>
      <c r="Q73" s="60">
        <v>7.7700000000000005E-2</v>
      </c>
      <c r="R73" s="49">
        <f>162402.753184719+8510000/490.37+(1000000+1000000+500000)/395.19+10099.73+2000000/388.3+2000000/388.21</f>
        <v>206485.30441435592</v>
      </c>
      <c r="S73" s="49">
        <f>187530</f>
        <v>187530</v>
      </c>
      <c r="T73" s="436">
        <f>P73-R73</f>
        <v>154846.69558564408</v>
      </c>
      <c r="U73" s="431">
        <f>IF(M73=$B$145,T73,IF(M73=$B$147,T73*$C$147/$C$145,IF(M73=$B$146,T73*$C$146/$C$145,IF(M73=$B$144,T73/$C$145))))</f>
        <v>154846.69558564408</v>
      </c>
      <c r="V73" s="58" t="s">
        <v>163</v>
      </c>
      <c r="W73" s="656" t="s">
        <v>488</v>
      </c>
      <c r="X73" s="12"/>
    </row>
    <row r="74" spans="1:24" ht="64.5" customHeight="1" outlineLevel="1" x14ac:dyDescent="0.25">
      <c r="A74" s="433">
        <v>42</v>
      </c>
      <c r="B74" s="440" t="s">
        <v>164</v>
      </c>
      <c r="C74" s="434" t="s">
        <v>165</v>
      </c>
      <c r="D74" s="420" t="s">
        <v>124</v>
      </c>
      <c r="E74" s="441"/>
      <c r="F74" s="441"/>
      <c r="G74" s="441"/>
      <c r="H74" s="441"/>
      <c r="I74" s="441"/>
      <c r="J74" s="441"/>
      <c r="K74" s="438" t="s">
        <v>352</v>
      </c>
      <c r="L74" s="49" t="s">
        <v>166</v>
      </c>
      <c r="M74" s="435" t="s">
        <v>35</v>
      </c>
      <c r="N74" s="49">
        <v>8000000</v>
      </c>
      <c r="O74" s="49">
        <f t="shared" si="8"/>
        <v>8461592.0051707849</v>
      </c>
      <c r="P74" s="49">
        <v>80000</v>
      </c>
      <c r="Q74" s="60" t="s">
        <v>50</v>
      </c>
      <c r="R74" s="49">
        <f>10909.09+3636.36+3636.36+1428217/392.76+1554016/427.35+3636.4</f>
        <v>29090.971703756208</v>
      </c>
      <c r="S74" s="49">
        <f>105386.95+361.72+42360.02+4761284/392.76+5116448/427.35+12019.8</f>
        <v>184223.61988818215</v>
      </c>
      <c r="T74" s="436">
        <f>P74-R74</f>
        <v>50909.028296243792</v>
      </c>
      <c r="U74" s="431">
        <f>IF(M74=$B$145,T74,IF(M74=$B$147,T74*$C$147/$C$145,IF(M74=$B$146,T74*$C$146/$C$145,IF(M74=$B$144,T74/$C$145))))</f>
        <v>53846.428352813724</v>
      </c>
      <c r="V74" s="58" t="s">
        <v>167</v>
      </c>
      <c r="W74" s="652"/>
    </row>
    <row r="75" spans="1:24" ht="53.25" customHeight="1" outlineLevel="1" x14ac:dyDescent="0.25">
      <c r="A75" s="433">
        <v>43</v>
      </c>
      <c r="B75" s="440" t="s">
        <v>164</v>
      </c>
      <c r="C75" s="434" t="s">
        <v>168</v>
      </c>
      <c r="D75" s="420" t="s">
        <v>132</v>
      </c>
      <c r="E75" s="441"/>
      <c r="F75" s="441"/>
      <c r="G75" s="441"/>
      <c r="H75" s="441"/>
      <c r="I75" s="441"/>
      <c r="J75" s="441"/>
      <c r="K75" s="438" t="s">
        <v>353</v>
      </c>
      <c r="L75" s="49" t="s">
        <v>166</v>
      </c>
      <c r="M75" s="435" t="s">
        <v>35</v>
      </c>
      <c r="N75" s="49">
        <v>8000000</v>
      </c>
      <c r="O75" s="49">
        <f t="shared" si="8"/>
        <v>8461592.0051707849</v>
      </c>
      <c r="P75" s="49"/>
      <c r="Q75" s="60" t="s">
        <v>50</v>
      </c>
      <c r="R75" s="49"/>
      <c r="S75" s="49"/>
      <c r="T75" s="436">
        <f>P75-R75</f>
        <v>0</v>
      </c>
      <c r="U75" s="431">
        <f>IF(M75=$B$145,T75,IF(M75=$B$147,T75*$C$147/$C$145,IF(M75=$B$146,T75*$C$146/$C$145,IF(M75=$B$144,T75/$C$145))))</f>
        <v>0</v>
      </c>
      <c r="V75" s="58" t="s">
        <v>167</v>
      </c>
      <c r="W75" s="652"/>
    </row>
    <row r="76" spans="1:24" ht="53.25" customHeight="1" outlineLevel="1" x14ac:dyDescent="0.25">
      <c r="A76" s="556">
        <v>44</v>
      </c>
      <c r="B76" s="565" t="s">
        <v>169</v>
      </c>
      <c r="C76" s="557" t="s">
        <v>271</v>
      </c>
      <c r="D76" s="420"/>
      <c r="E76" s="441"/>
      <c r="F76" s="441"/>
      <c r="G76" s="441"/>
      <c r="H76" s="441"/>
      <c r="I76" s="441"/>
      <c r="J76" s="441"/>
      <c r="K76" s="438" t="s">
        <v>354</v>
      </c>
      <c r="L76" s="557" t="s">
        <v>292</v>
      </c>
      <c r="M76" s="435" t="s">
        <v>35</v>
      </c>
      <c r="N76" s="49">
        <v>5500000</v>
      </c>
      <c r="O76" s="49">
        <f t="shared" si="8"/>
        <v>5817344.5035549151</v>
      </c>
      <c r="P76" s="49">
        <f>1384955.78+492272.39+301757.1</f>
        <v>2178985.27</v>
      </c>
      <c r="Q76" s="60" t="s">
        <v>50</v>
      </c>
      <c r="R76" s="49"/>
      <c r="S76" s="49"/>
      <c r="T76" s="436">
        <f t="shared" ref="T76:T82" si="9">P76-R76</f>
        <v>2178985.27</v>
      </c>
      <c r="U76" s="431">
        <f>IF(M76=$B$145,T76,IF(M76=$B$147,T76*$C$147/$C$145,IF(M76=$B$146,T76*$C$146/$C$145,IF(M76=$B$144,T76/$C$145))))</f>
        <v>2304710.5425021136</v>
      </c>
      <c r="V76" s="58" t="s">
        <v>82</v>
      </c>
      <c r="W76" s="657" t="s">
        <v>489</v>
      </c>
    </row>
    <row r="77" spans="1:24" outlineLevel="1" x14ac:dyDescent="0.25">
      <c r="A77" s="546"/>
      <c r="B77" s="566"/>
      <c r="C77" s="549"/>
      <c r="D77" s="420"/>
      <c r="E77" s="441"/>
      <c r="F77" s="441"/>
      <c r="G77" s="441"/>
      <c r="H77" s="441"/>
      <c r="I77" s="441"/>
      <c r="J77" s="441"/>
      <c r="K77" s="438"/>
      <c r="L77" s="549"/>
      <c r="M77" s="439" t="s">
        <v>3</v>
      </c>
      <c r="N77" s="49">
        <v>92733053.200000003</v>
      </c>
      <c r="O77" s="49">
        <f t="shared" si="8"/>
        <v>230530.13772187143</v>
      </c>
      <c r="P77" s="49">
        <f>92733053.2+20276600+1679251+16492341.9+20399976.4+42969092+26833268.5</f>
        <v>221383583</v>
      </c>
      <c r="Q77" s="60"/>
      <c r="R77" s="49"/>
      <c r="S77" s="49"/>
      <c r="T77" s="436">
        <f t="shared" si="9"/>
        <v>221383583</v>
      </c>
      <c r="U77" s="431">
        <f>IF(M77=$B$145,T77,IF(M77=$B$147,T77*$C$147/$C$145,IF(M77=$B$146,T77*$C$146/$C$145,IF(M77=$B$144,T77/$C$145))))</f>
        <v>550349.48292149359</v>
      </c>
      <c r="V77" s="58"/>
      <c r="W77" s="652"/>
    </row>
    <row r="78" spans="1:24" ht="54" outlineLevel="1" x14ac:dyDescent="0.25">
      <c r="A78" s="433">
        <v>45</v>
      </c>
      <c r="B78" s="440" t="s">
        <v>170</v>
      </c>
      <c r="C78" s="434" t="s">
        <v>171</v>
      </c>
      <c r="D78" s="434" t="s">
        <v>119</v>
      </c>
      <c r="E78" s="441"/>
      <c r="F78" s="441"/>
      <c r="G78" s="441"/>
      <c r="H78" s="441"/>
      <c r="I78" s="441"/>
      <c r="J78" s="441"/>
      <c r="K78" s="438" t="s">
        <v>355</v>
      </c>
      <c r="L78" s="49" t="s">
        <v>172</v>
      </c>
      <c r="M78" s="439" t="s">
        <v>3</v>
      </c>
      <c r="N78" s="49">
        <v>249300000</v>
      </c>
      <c r="O78" s="49">
        <f t="shared" si="8"/>
        <v>619748.42141898279</v>
      </c>
      <c r="P78" s="49">
        <v>249300000</v>
      </c>
      <c r="Q78" s="67">
        <v>1E-3</v>
      </c>
      <c r="R78" s="49">
        <v>42881892.899999999</v>
      </c>
      <c r="S78" s="49">
        <v>528153.5</v>
      </c>
      <c r="T78" s="436">
        <f t="shared" si="9"/>
        <v>206418107.09999999</v>
      </c>
      <c r="U78" s="431">
        <f>IF(M78=$B$145,T78,IF(M78=$B$147,T78*$C$147/$C$145,IF(M78=$B$146,T78*$C$146/$C$145,IF(M78=$B$144,T78/$C$145))))</f>
        <v>513145.99289017054</v>
      </c>
      <c r="V78" s="58" t="s">
        <v>82</v>
      </c>
      <c r="W78" s="652"/>
    </row>
    <row r="79" spans="1:24" ht="148.5" outlineLevel="1" x14ac:dyDescent="0.25">
      <c r="A79" s="433">
        <v>46</v>
      </c>
      <c r="B79" s="423" t="s">
        <v>113</v>
      </c>
      <c r="C79" s="411" t="s">
        <v>114</v>
      </c>
      <c r="D79" s="420" t="s">
        <v>107</v>
      </c>
      <c r="E79" s="441"/>
      <c r="F79" s="441"/>
      <c r="G79" s="441"/>
      <c r="H79" s="441"/>
      <c r="I79" s="441"/>
      <c r="J79" s="441"/>
      <c r="K79" s="428" t="s">
        <v>356</v>
      </c>
      <c r="L79" s="430" t="s">
        <v>115</v>
      </c>
      <c r="M79" s="435" t="s">
        <v>57</v>
      </c>
      <c r="N79" s="49">
        <v>4000000</v>
      </c>
      <c r="O79" s="49">
        <f>IF(M79=$B$145,N79,IF(M79=$B$147,N79*$C$147/$C$145,IF(M79=$B$146,N79*$C$146/$C$145,IF(M79=$B$148,N79*$C$148/$C$145,IF(M79=$B$144,N79/$C$145)))))</f>
        <v>4000000</v>
      </c>
      <c r="P79" s="49">
        <v>817235.07</v>
      </c>
      <c r="Q79" s="60" t="s">
        <v>50</v>
      </c>
      <c r="R79" s="49">
        <f>465353.9+34986668/397.71</f>
        <v>553324.19996731286</v>
      </c>
      <c r="S79" s="49">
        <f>188098.2+7483550/397.71</f>
        <v>206914.80003520154</v>
      </c>
      <c r="T79" s="445">
        <f>P79-R79</f>
        <v>263910.87003268709</v>
      </c>
      <c r="U79" s="49">
        <f>IF(M79=$B$145,T79,IF(M79=$B$147,T79*$C$147/$C$145,IF(M79=$B$146,T79*$C$146/$C$145,IF(M79=$B$148,T79*$C$148/$C$145,IF(M79=$B$144,T79/$C$145)))))</f>
        <v>263910.87003268709</v>
      </c>
      <c r="V79" s="413" t="s">
        <v>116</v>
      </c>
      <c r="W79" s="658"/>
    </row>
    <row r="80" spans="1:24" s="15" customFormat="1" ht="40.5" outlineLevel="1" x14ac:dyDescent="0.2">
      <c r="A80" s="433">
        <v>47</v>
      </c>
      <c r="B80" s="440" t="s">
        <v>173</v>
      </c>
      <c r="C80" s="434" t="s">
        <v>139</v>
      </c>
      <c r="D80" s="439" t="s">
        <v>107</v>
      </c>
      <c r="E80" s="441" t="s">
        <v>3</v>
      </c>
      <c r="F80" s="441"/>
      <c r="G80" s="434"/>
      <c r="H80" s="434"/>
      <c r="I80" s="434"/>
      <c r="J80" s="434"/>
      <c r="K80" s="439" t="s">
        <v>357</v>
      </c>
      <c r="L80" s="439" t="s">
        <v>307</v>
      </c>
      <c r="M80" s="439" t="s">
        <v>3</v>
      </c>
      <c r="N80" s="111">
        <v>50600000</v>
      </c>
      <c r="O80" s="49">
        <f t="shared" ref="O80:O94" si="10">IF(M80=$B$145,N80,IF(M80=$B$147,N80*$C$147/$C$145,IF(M80=$B$146,N80*$C$146/$C$145,IF(M80=$B$144,N80/$C$145))))</f>
        <v>125789.29050862626</v>
      </c>
      <c r="P80" s="49">
        <v>50600000</v>
      </c>
      <c r="Q80" s="440" t="s">
        <v>174</v>
      </c>
      <c r="R80" s="49"/>
      <c r="S80" s="49"/>
      <c r="T80" s="111">
        <f t="shared" si="9"/>
        <v>50600000</v>
      </c>
      <c r="U80" s="431">
        <f>IF(M80=$B$145,T80,IF(M80=$B$147,T80*$C$147/$C$145,IF(M80=$B$146,T80*$C$146/$C$145,IF(M80=$B$144,T80/$C$145))))</f>
        <v>125789.29050862626</v>
      </c>
      <c r="V80" s="58" t="s">
        <v>82</v>
      </c>
      <c r="W80" s="657" t="s">
        <v>490</v>
      </c>
      <c r="X80" s="14"/>
    </row>
    <row r="81" spans="1:24" s="15" customFormat="1" ht="40.5" outlineLevel="1" x14ac:dyDescent="0.2">
      <c r="A81" s="433">
        <v>48</v>
      </c>
      <c r="B81" s="440" t="s">
        <v>173</v>
      </c>
      <c r="C81" s="434" t="s">
        <v>139</v>
      </c>
      <c r="D81" s="439" t="s">
        <v>107</v>
      </c>
      <c r="E81" s="441" t="s">
        <v>3</v>
      </c>
      <c r="F81" s="441"/>
      <c r="G81" s="441"/>
      <c r="H81" s="441"/>
      <c r="I81" s="441"/>
      <c r="J81" s="441"/>
      <c r="K81" s="439" t="s">
        <v>358</v>
      </c>
      <c r="L81" s="439" t="s">
        <v>308</v>
      </c>
      <c r="M81" s="434" t="s">
        <v>3</v>
      </c>
      <c r="N81" s="111">
        <v>1100000000</v>
      </c>
      <c r="O81" s="49">
        <f t="shared" si="10"/>
        <v>2734549.7936657881</v>
      </c>
      <c r="P81" s="49">
        <v>1100000000</v>
      </c>
      <c r="Q81" s="440" t="s">
        <v>174</v>
      </c>
      <c r="R81" s="49"/>
      <c r="S81" s="49"/>
      <c r="T81" s="111">
        <f t="shared" si="9"/>
        <v>1100000000</v>
      </c>
      <c r="U81" s="431">
        <f>IF(M81=$B$145,T81,IF(M81=$B$147,T81*$C$147/$C$145,IF(M81=$B$146,T81*$C$146/$C$145,IF(M81=$B$144,T81/$C$145))))</f>
        <v>2734549.7936657881</v>
      </c>
      <c r="V81" s="608" t="s">
        <v>274</v>
      </c>
      <c r="W81" s="657" t="s">
        <v>490</v>
      </c>
      <c r="X81" s="14"/>
    </row>
    <row r="82" spans="1:24" s="15" customFormat="1" ht="40.5" outlineLevel="1" x14ac:dyDescent="0.2">
      <c r="A82" s="433">
        <v>49</v>
      </c>
      <c r="B82" s="440" t="s">
        <v>173</v>
      </c>
      <c r="C82" s="434" t="s">
        <v>139</v>
      </c>
      <c r="D82" s="439" t="s">
        <v>107</v>
      </c>
      <c r="E82" s="441" t="s">
        <v>3</v>
      </c>
      <c r="F82" s="441"/>
      <c r="G82" s="441"/>
      <c r="H82" s="441"/>
      <c r="I82" s="441"/>
      <c r="J82" s="441"/>
      <c r="K82" s="439" t="s">
        <v>359</v>
      </c>
      <c r="L82" s="439" t="s">
        <v>309</v>
      </c>
      <c r="M82" s="434" t="s">
        <v>3</v>
      </c>
      <c r="N82" s="111">
        <v>792386600</v>
      </c>
      <c r="O82" s="49">
        <f t="shared" si="10"/>
        <v>1969836.9213941232</v>
      </c>
      <c r="P82" s="49">
        <v>791031693</v>
      </c>
      <c r="Q82" s="440" t="s">
        <v>174</v>
      </c>
      <c r="R82" s="49"/>
      <c r="S82" s="49"/>
      <c r="T82" s="111">
        <f t="shared" si="9"/>
        <v>791031693</v>
      </c>
      <c r="U82" s="431">
        <f>IF(M82=$B$145,T82,IF(M82=$B$147,T82*$C$147/$C$145,IF(M82=$B$146,T82*$C$146/$C$145,IF(M82=$B$144,T82/$C$145))))</f>
        <v>1966468.6844329538</v>
      </c>
      <c r="V82" s="609"/>
      <c r="W82" s="657" t="s">
        <v>490</v>
      </c>
      <c r="X82" s="14"/>
    </row>
    <row r="83" spans="1:24" s="15" customFormat="1" ht="40.5" outlineLevel="1" x14ac:dyDescent="0.2">
      <c r="A83" s="433">
        <v>50</v>
      </c>
      <c r="B83" s="440" t="s">
        <v>173</v>
      </c>
      <c r="C83" s="434" t="s">
        <v>139</v>
      </c>
      <c r="D83" s="439" t="s">
        <v>107</v>
      </c>
      <c r="E83" s="441" t="s">
        <v>3</v>
      </c>
      <c r="F83" s="441"/>
      <c r="G83" s="441"/>
      <c r="H83" s="441"/>
      <c r="I83" s="441"/>
      <c r="J83" s="441"/>
      <c r="K83" s="439" t="s">
        <v>360</v>
      </c>
      <c r="L83" s="439" t="s">
        <v>310</v>
      </c>
      <c r="M83" s="434" t="s">
        <v>3</v>
      </c>
      <c r="N83" s="111">
        <v>254672300</v>
      </c>
      <c r="O83" s="49">
        <f t="shared" si="10"/>
        <v>633103.71401581063</v>
      </c>
      <c r="P83" s="49">
        <f>168444408+75498000+5196300+5196300</f>
        <v>254335008</v>
      </c>
      <c r="Q83" s="440" t="s">
        <v>174</v>
      </c>
      <c r="R83" s="49"/>
      <c r="S83" s="49"/>
      <c r="T83" s="111">
        <f>P83-R83</f>
        <v>254335008</v>
      </c>
      <c r="U83" s="431">
        <f>IF(M83=$B$145,T83,IF(M83=$B$147,T83*$C$147/$C$145,IF(M83=$B$146,T83*$C$146/$C$145,IF(M83=$B$144,T83/$C$145))))</f>
        <v>632265.22149853327</v>
      </c>
      <c r="V83" s="610"/>
      <c r="W83" s="657" t="s">
        <v>490</v>
      </c>
      <c r="X83" s="14"/>
    </row>
    <row r="84" spans="1:24" s="15" customFormat="1" ht="40.5" outlineLevel="1" x14ac:dyDescent="0.2">
      <c r="A84" s="433">
        <v>51</v>
      </c>
      <c r="B84" s="440" t="s">
        <v>175</v>
      </c>
      <c r="C84" s="434" t="s">
        <v>139</v>
      </c>
      <c r="D84" s="439" t="s">
        <v>119</v>
      </c>
      <c r="E84" s="441" t="s">
        <v>3</v>
      </c>
      <c r="F84" s="441"/>
      <c r="G84" s="441"/>
      <c r="H84" s="441"/>
      <c r="I84" s="441"/>
      <c r="J84" s="441"/>
      <c r="K84" s="439" t="s">
        <v>361</v>
      </c>
      <c r="L84" s="439" t="s">
        <v>176</v>
      </c>
      <c r="M84" s="434" t="s">
        <v>3</v>
      </c>
      <c r="N84" s="111">
        <v>88731015</v>
      </c>
      <c r="O84" s="49">
        <f t="shared" si="10"/>
        <v>220581.25341818726</v>
      </c>
      <c r="P84" s="49">
        <v>88731000</v>
      </c>
      <c r="Q84" s="114">
        <v>8.5000000000000006E-2</v>
      </c>
      <c r="R84" s="49"/>
      <c r="S84" s="49">
        <v>1591081</v>
      </c>
      <c r="T84" s="111">
        <f t="shared" ref="T84:T97" si="11">P84-R84</f>
        <v>88731000</v>
      </c>
      <c r="U84" s="431">
        <f>IF(M84=$B$145,T84,IF(M84=$B$147,T84*$C$147/$C$145,IF(M84=$B$146,T84*$C$146/$C$145,IF(M84=$B$144,T84/$C$145))))</f>
        <v>220581.21612887189</v>
      </c>
      <c r="V84" s="109" t="s">
        <v>177</v>
      </c>
      <c r="W84" s="639" t="s">
        <v>491</v>
      </c>
      <c r="X84" s="14"/>
    </row>
    <row r="85" spans="1:24" s="15" customFormat="1" ht="40.5" outlineLevel="1" x14ac:dyDescent="0.2">
      <c r="A85" s="433">
        <v>52</v>
      </c>
      <c r="B85" s="440" t="s">
        <v>178</v>
      </c>
      <c r="C85" s="434" t="s">
        <v>179</v>
      </c>
      <c r="D85" s="439" t="s">
        <v>119</v>
      </c>
      <c r="E85" s="441" t="s">
        <v>3</v>
      </c>
      <c r="F85" s="441"/>
      <c r="G85" s="441"/>
      <c r="H85" s="441"/>
      <c r="I85" s="441"/>
      <c r="J85" s="441"/>
      <c r="K85" s="439" t="s">
        <v>362</v>
      </c>
      <c r="L85" s="439" t="s">
        <v>180</v>
      </c>
      <c r="M85" s="434" t="s">
        <v>3</v>
      </c>
      <c r="N85" s="111">
        <v>3840000000</v>
      </c>
      <c r="O85" s="49">
        <f t="shared" si="10"/>
        <v>9546064.7342514787</v>
      </c>
      <c r="P85" s="49">
        <v>3840000000</v>
      </c>
      <c r="Q85" s="115">
        <v>1.0000000000000001E-5</v>
      </c>
      <c r="R85" s="49">
        <v>3484641868</v>
      </c>
      <c r="S85" s="49">
        <v>37169</v>
      </c>
      <c r="T85" s="111">
        <f t="shared" si="11"/>
        <v>355358132</v>
      </c>
      <c r="U85" s="431">
        <f>IF(M85=$B$145,T85,IF(M85=$B$147,T85*$C$147/$C$145,IF(M85=$B$146,T85*$C$146/$C$145,IF(M85=$B$144,T85/$C$145))))</f>
        <v>883404.09685278183</v>
      </c>
      <c r="V85" s="109" t="s">
        <v>82</v>
      </c>
      <c r="W85" s="657" t="s">
        <v>492</v>
      </c>
      <c r="X85" s="14"/>
    </row>
    <row r="86" spans="1:24" ht="94.5" outlineLevel="1" x14ac:dyDescent="0.25">
      <c r="A86" s="433">
        <v>53</v>
      </c>
      <c r="B86" s="423" t="s">
        <v>181</v>
      </c>
      <c r="C86" s="411" t="s">
        <v>179</v>
      </c>
      <c r="D86" s="411" t="s">
        <v>149</v>
      </c>
      <c r="E86" s="411"/>
      <c r="F86" s="411"/>
      <c r="G86" s="411"/>
      <c r="H86" s="411"/>
      <c r="I86" s="411"/>
      <c r="J86" s="411"/>
      <c r="K86" s="434" t="s">
        <v>363</v>
      </c>
      <c r="L86" s="434" t="s">
        <v>182</v>
      </c>
      <c r="M86" s="434" t="s">
        <v>57</v>
      </c>
      <c r="N86" s="116">
        <v>8944984.0899999999</v>
      </c>
      <c r="O86" s="49">
        <f t="shared" si="10"/>
        <v>8944984.0899999999</v>
      </c>
      <c r="P86" s="49">
        <v>8944984.0899999999</v>
      </c>
      <c r="Q86" s="117">
        <v>7.4999999999999997E-3</v>
      </c>
      <c r="R86" s="49">
        <f>2425758.4+151609.9</f>
        <v>2577368.2999999998</v>
      </c>
      <c r="S86" s="49">
        <f>881276.03+25084.35+24380.12</f>
        <v>930740.5</v>
      </c>
      <c r="T86" s="436">
        <f t="shared" si="11"/>
        <v>6367615.79</v>
      </c>
      <c r="U86" s="431">
        <f>IF(M86=$B$145,T86,IF(M86=$B$147,T86*$C$147/$C$145,IF(M86=$B$146,T86*$C$146/$C$145,IF(M86=$B$144,T86/$C$145))))</f>
        <v>6367615.79</v>
      </c>
      <c r="V86" s="413" t="s">
        <v>82</v>
      </c>
      <c r="W86" s="652"/>
    </row>
    <row r="87" spans="1:24" ht="55.5" customHeight="1" outlineLevel="1" x14ac:dyDescent="0.25">
      <c r="A87" s="556">
        <v>54</v>
      </c>
      <c r="B87" s="565" t="s">
        <v>183</v>
      </c>
      <c r="C87" s="557" t="s">
        <v>179</v>
      </c>
      <c r="D87" s="557" t="s">
        <v>149</v>
      </c>
      <c r="E87" s="411"/>
      <c r="F87" s="411"/>
      <c r="G87" s="411"/>
      <c r="H87" s="411"/>
      <c r="I87" s="411"/>
      <c r="J87" s="411"/>
      <c r="K87" s="557" t="s">
        <v>364</v>
      </c>
      <c r="L87" s="434" t="s">
        <v>184</v>
      </c>
      <c r="M87" s="434" t="s">
        <v>3</v>
      </c>
      <c r="N87" s="116">
        <v>93025000</v>
      </c>
      <c r="O87" s="49">
        <f t="shared" si="10"/>
        <v>231255.90414159995</v>
      </c>
      <c r="P87" s="49">
        <v>93025000</v>
      </c>
      <c r="Q87" s="117">
        <v>7.4999999999999997E-3</v>
      </c>
      <c r="R87" s="49">
        <f>13953750+930250</f>
        <v>14884000</v>
      </c>
      <c r="S87" s="49">
        <v>294653.5</v>
      </c>
      <c r="T87" s="436">
        <f t="shared" si="11"/>
        <v>78141000</v>
      </c>
      <c r="U87" s="431">
        <f>IF(M87=$B$145,T87,IF(M87=$B$147,T87*$C$147/$C$145,IF(M87=$B$146,T87*$C$146/$C$145,IF(M87=$B$144,T87/$C$145))))</f>
        <v>194254.95947894396</v>
      </c>
      <c r="V87" s="554" t="s">
        <v>82</v>
      </c>
      <c r="W87" s="652"/>
    </row>
    <row r="88" spans="1:24" ht="55.5" customHeight="1" outlineLevel="1" x14ac:dyDescent="0.25">
      <c r="A88" s="546"/>
      <c r="B88" s="566"/>
      <c r="C88" s="549"/>
      <c r="D88" s="549"/>
      <c r="E88" s="411"/>
      <c r="F88" s="411"/>
      <c r="G88" s="411"/>
      <c r="H88" s="411"/>
      <c r="I88" s="411"/>
      <c r="J88" s="411"/>
      <c r="K88" s="549"/>
      <c r="L88" s="434" t="s">
        <v>184</v>
      </c>
      <c r="M88" s="434" t="s">
        <v>57</v>
      </c>
      <c r="N88" s="116">
        <v>5217725</v>
      </c>
      <c r="O88" s="49">
        <f t="shared" si="10"/>
        <v>5217725</v>
      </c>
      <c r="P88" s="49">
        <v>5217725</v>
      </c>
      <c r="Q88" s="117">
        <v>7.4999999999999997E-3</v>
      </c>
      <c r="R88" s="49">
        <f>782658.5+52177.25</f>
        <v>834835.75</v>
      </c>
      <c r="S88" s="49">
        <v>16585.93</v>
      </c>
      <c r="T88" s="436">
        <f t="shared" si="11"/>
        <v>4382889.25</v>
      </c>
      <c r="U88" s="431">
        <f>IF(M88=$B$145,T88,IF(M88=$B$147,T88*$C$147/$C$145,IF(M88=$B$146,T88*$C$146/$C$145,IF(M88=$B$144,T88/$C$145))))</f>
        <v>4382889.25</v>
      </c>
      <c r="V88" s="555"/>
      <c r="W88" s="652"/>
    </row>
    <row r="89" spans="1:24" ht="94.5" outlineLevel="1" x14ac:dyDescent="0.25">
      <c r="A89" s="433">
        <v>55</v>
      </c>
      <c r="B89" s="423" t="s">
        <v>185</v>
      </c>
      <c r="C89" s="411" t="s">
        <v>179</v>
      </c>
      <c r="D89" s="411" t="s">
        <v>149</v>
      </c>
      <c r="E89" s="411"/>
      <c r="F89" s="411"/>
      <c r="G89" s="411"/>
      <c r="H89" s="411"/>
      <c r="I89" s="411"/>
      <c r="J89" s="411"/>
      <c r="K89" s="434" t="s">
        <v>365</v>
      </c>
      <c r="L89" s="434" t="s">
        <v>186</v>
      </c>
      <c r="M89" s="434" t="s">
        <v>57</v>
      </c>
      <c r="N89" s="116">
        <v>1989000</v>
      </c>
      <c r="O89" s="49">
        <f t="shared" si="10"/>
        <v>1989000</v>
      </c>
      <c r="P89" s="49">
        <v>1989000</v>
      </c>
      <c r="Q89" s="117">
        <v>7.4999999999999997E-3</v>
      </c>
      <c r="R89" s="49">
        <f>337118.7+33711.86</f>
        <v>370830.56</v>
      </c>
      <c r="S89" s="49">
        <v>6177.58</v>
      </c>
      <c r="T89" s="436">
        <f t="shared" si="11"/>
        <v>1618169.44</v>
      </c>
      <c r="U89" s="431">
        <f>IF(M89=$B$145,T89,IF(M89=$B$147,T89*$C$147/$C$145,IF(M89=$B$146,T89*$C$146/$C$145,IF(M89=$B$144,T89/$C$145))))</f>
        <v>1618169.44</v>
      </c>
      <c r="V89" s="413" t="s">
        <v>82</v>
      </c>
      <c r="W89" s="652"/>
    </row>
    <row r="90" spans="1:24" ht="108" outlineLevel="1" x14ac:dyDescent="0.25">
      <c r="A90" s="433">
        <v>56</v>
      </c>
      <c r="B90" s="423" t="s">
        <v>311</v>
      </c>
      <c r="C90" s="411" t="s">
        <v>312</v>
      </c>
      <c r="D90" s="411" t="s">
        <v>149</v>
      </c>
      <c r="E90" s="411" t="s">
        <v>463</v>
      </c>
      <c r="F90" s="411">
        <v>2190000</v>
      </c>
      <c r="G90" s="411"/>
      <c r="H90" s="411"/>
      <c r="I90" s="411"/>
      <c r="J90" s="411"/>
      <c r="K90" s="411" t="s">
        <v>366</v>
      </c>
      <c r="L90" s="411" t="s">
        <v>313</v>
      </c>
      <c r="M90" s="434" t="s">
        <v>3</v>
      </c>
      <c r="N90" s="116">
        <v>2047212646</v>
      </c>
      <c r="O90" s="49">
        <f t="shared" si="10"/>
        <v>5089277.1988266297</v>
      </c>
      <c r="P90" s="430">
        <v>2047212646</v>
      </c>
      <c r="Q90" s="117">
        <v>0.02</v>
      </c>
      <c r="R90" s="49">
        <v>0</v>
      </c>
      <c r="S90" s="49">
        <f>88017538.4+20640391</f>
        <v>108657929.40000001</v>
      </c>
      <c r="T90" s="436">
        <v>2047212646</v>
      </c>
      <c r="U90" s="431">
        <f>IF(M90=$B$145,T90,IF(M90=$B$147,T90*$C$147/$C$145,IF(M90=$B$146,T90*$C$146/$C$145,IF(M90=$B$144,T90/$C$145))))</f>
        <v>5089277.1988266297</v>
      </c>
      <c r="V90" s="413" t="s">
        <v>82</v>
      </c>
      <c r="W90" s="652"/>
    </row>
    <row r="91" spans="1:24" ht="256.5" outlineLevel="1" x14ac:dyDescent="0.25">
      <c r="A91" s="421">
        <v>57</v>
      </c>
      <c r="B91" s="423" t="s">
        <v>187</v>
      </c>
      <c r="C91" s="411" t="s">
        <v>188</v>
      </c>
      <c r="D91" s="411" t="s">
        <v>99</v>
      </c>
      <c r="E91" s="411"/>
      <c r="F91" s="411"/>
      <c r="G91" s="411"/>
      <c r="H91" s="411"/>
      <c r="I91" s="411"/>
      <c r="J91" s="411"/>
      <c r="K91" s="411" t="s">
        <v>367</v>
      </c>
      <c r="L91" s="411" t="s">
        <v>189</v>
      </c>
      <c r="M91" s="434" t="s">
        <v>57</v>
      </c>
      <c r="N91" s="116">
        <v>2217000</v>
      </c>
      <c r="O91" s="49">
        <f t="shared" si="10"/>
        <v>2217000</v>
      </c>
      <c r="P91" s="116">
        <v>2217000</v>
      </c>
      <c r="Q91" s="118">
        <v>0.02</v>
      </c>
      <c r="R91" s="49">
        <f>1656550.78+18166.04+7000680/387.28+18122.86+18122.86+32122.86</f>
        <v>1761161.933774014</v>
      </c>
      <c r="S91" s="49">
        <f>108750.120345235+1633.42+698950/387.28+1809.39+1778.61+1691.44</f>
        <v>117467.74692238848</v>
      </c>
      <c r="T91" s="436">
        <v>1010837.1</v>
      </c>
      <c r="U91" s="431">
        <f>IF(M91=$B$145,T91,IF(M91=$B$147,T91*$C$147/$C$145,IF(M91=$B$146,T91*$C$146/$C$145,IF(M91=$B$144,T91/$C$145))))</f>
        <v>1010837.1</v>
      </c>
      <c r="V91" s="413" t="s">
        <v>190</v>
      </c>
      <c r="W91" s="657" t="s">
        <v>493</v>
      </c>
    </row>
    <row r="92" spans="1:24" ht="48.75" customHeight="1" outlineLevel="1" x14ac:dyDescent="0.25">
      <c r="A92" s="433">
        <v>58</v>
      </c>
      <c r="B92" s="440" t="s">
        <v>300</v>
      </c>
      <c r="C92" s="434" t="s">
        <v>301</v>
      </c>
      <c r="D92" s="434" t="s">
        <v>302</v>
      </c>
      <c r="E92" s="434" t="s">
        <v>35</v>
      </c>
      <c r="F92" s="434">
        <v>20000000</v>
      </c>
      <c r="G92" s="434">
        <v>4199559.68</v>
      </c>
      <c r="H92" s="434" t="s">
        <v>304</v>
      </c>
      <c r="I92" s="434"/>
      <c r="J92" s="434"/>
      <c r="K92" s="434" t="s">
        <v>368</v>
      </c>
      <c r="L92" s="411" t="s">
        <v>303</v>
      </c>
      <c r="M92" s="434" t="s">
        <v>35</v>
      </c>
      <c r="N92" s="116">
        <f>4199559.68+12720691.2+1113060.48+1966688.64</f>
        <v>20000000</v>
      </c>
      <c r="O92" s="49">
        <f t="shared" si="10"/>
        <v>21153980.012926966</v>
      </c>
      <c r="P92" s="116">
        <f>N92</f>
        <v>20000000</v>
      </c>
      <c r="Q92" s="118" t="s">
        <v>304</v>
      </c>
      <c r="R92" s="49"/>
      <c r="S92" s="119">
        <f>77849.88+103888.1+413918.01</f>
        <v>595655.99</v>
      </c>
      <c r="T92" s="436">
        <f>P92-R92</f>
        <v>20000000</v>
      </c>
      <c r="U92" s="431">
        <f>IF(M92=$B$145,T92,IF(M92=$B$147,T92*$C$147/$C$145,IF(M92=$B$146,T92*$C$146/$C$145,IF(M92=$B$144,T92/$C$145))))</f>
        <v>21153980.012926966</v>
      </c>
      <c r="V92" s="413" t="s">
        <v>305</v>
      </c>
      <c r="W92" s="657"/>
    </row>
    <row r="93" spans="1:24" s="15" customFormat="1" ht="38.25" customHeight="1" outlineLevel="1" x14ac:dyDescent="0.25">
      <c r="A93" s="607">
        <v>59</v>
      </c>
      <c r="B93" s="583" t="s">
        <v>191</v>
      </c>
      <c r="C93" s="567" t="s">
        <v>192</v>
      </c>
      <c r="D93" s="567"/>
      <c r="E93" s="450" t="s">
        <v>57</v>
      </c>
      <c r="F93" s="450"/>
      <c r="G93" s="450"/>
      <c r="H93" s="450"/>
      <c r="I93" s="450"/>
      <c r="J93" s="450"/>
      <c r="K93" s="568" t="s">
        <v>369</v>
      </c>
      <c r="L93" s="559" t="s">
        <v>193</v>
      </c>
      <c r="M93" s="435" t="s">
        <v>57</v>
      </c>
      <c r="N93" s="111">
        <v>237758.39</v>
      </c>
      <c r="O93" s="69">
        <f t="shared" si="10"/>
        <v>237758.39</v>
      </c>
      <c r="P93" s="49">
        <v>237758.39</v>
      </c>
      <c r="Q93" s="67"/>
      <c r="R93" s="49"/>
      <c r="S93" s="49"/>
      <c r="T93" s="111">
        <f>P93-R93</f>
        <v>237758.39</v>
      </c>
      <c r="U93" s="431">
        <f>IF(M93=$B$145,T93,IF(M93=$B$147,T93*$C$147/$C$145,IF(M93=$B$146,T93*$C$146/$C$145,IF(M93=$B$144,T93/$C$145))))</f>
        <v>237758.39</v>
      </c>
      <c r="V93" s="554" t="s">
        <v>82</v>
      </c>
      <c r="W93" s="652"/>
      <c r="X93" s="14"/>
    </row>
    <row r="94" spans="1:24" s="15" customFormat="1" ht="45" customHeight="1" outlineLevel="1" x14ac:dyDescent="0.25">
      <c r="A94" s="607"/>
      <c r="B94" s="566"/>
      <c r="C94" s="549"/>
      <c r="D94" s="549"/>
      <c r="E94" s="448"/>
      <c r="F94" s="448"/>
      <c r="G94" s="448"/>
      <c r="H94" s="448"/>
      <c r="I94" s="448"/>
      <c r="J94" s="448"/>
      <c r="K94" s="550"/>
      <c r="L94" s="550"/>
      <c r="M94" s="82" t="s">
        <v>3</v>
      </c>
      <c r="N94" s="121">
        <v>28883700</v>
      </c>
      <c r="O94" s="69">
        <f t="shared" si="10"/>
        <v>71803.559886640476</v>
      </c>
      <c r="P94" s="49">
        <v>28883700</v>
      </c>
      <c r="Q94" s="432"/>
      <c r="R94" s="49"/>
      <c r="S94" s="49"/>
      <c r="T94" s="111">
        <f>P94-R94</f>
        <v>28883700</v>
      </c>
      <c r="U94" s="431">
        <f>IF(M94=$B$145,T94,IF(M94=$B$147,T94*$C$147/$C$145,IF(M94=$B$146,T94*$C$146/$C$145,IF(M94=$B$144,T94/$C$145))))</f>
        <v>71803.559886640476</v>
      </c>
      <c r="V94" s="555"/>
      <c r="W94" s="652"/>
      <c r="X94" s="14"/>
    </row>
    <row r="95" spans="1:24" s="13" customFormat="1" ht="40.5" customHeight="1" outlineLevel="1" x14ac:dyDescent="0.25">
      <c r="A95" s="421">
        <v>60</v>
      </c>
      <c r="B95" s="423" t="s">
        <v>117</v>
      </c>
      <c r="C95" s="411" t="s">
        <v>118</v>
      </c>
      <c r="D95" s="411" t="s">
        <v>119</v>
      </c>
      <c r="E95" s="411"/>
      <c r="F95" s="411"/>
      <c r="G95" s="411"/>
      <c r="H95" s="411"/>
      <c r="I95" s="411"/>
      <c r="J95" s="411"/>
      <c r="K95" s="411" t="s">
        <v>370</v>
      </c>
      <c r="L95" s="411" t="s">
        <v>120</v>
      </c>
      <c r="M95" s="411" t="s">
        <v>3</v>
      </c>
      <c r="N95" s="430">
        <v>303444194</v>
      </c>
      <c r="O95" s="430">
        <f>IF(M95=$B$145,N95,IF(M95=$B$147,N95*$C$147/$C$145,IF(M95=$B$146,N95*$C$146/$C$145,IF(M95=$B$148,N95*$C$148/$C$145,IF(M95=$B$144,N95/$C$145)))))</f>
        <v>754348.41644707404</v>
      </c>
      <c r="P95" s="430">
        <v>303444194</v>
      </c>
      <c r="Q95" s="432">
        <v>0</v>
      </c>
      <c r="R95" s="430"/>
      <c r="S95" s="430"/>
      <c r="T95" s="445">
        <f>P95-R95</f>
        <v>303444194</v>
      </c>
      <c r="U95" s="430">
        <f>IF(M95=$B$145,T95,IF(M95=$B$147,T95*$C$147/$C$145,IF(M95=$B$146,T95*$C$146/$C$145,IF(M95=$B$148,T95*$C$148/$C$145,IF(M95=$B$144,T95/$C$145)))))</f>
        <v>754348.41644707404</v>
      </c>
      <c r="V95" s="413" t="s">
        <v>82</v>
      </c>
      <c r="W95" s="654"/>
      <c r="X95" s="12"/>
    </row>
    <row r="96" spans="1:24" ht="51" customHeight="1" x14ac:dyDescent="0.25">
      <c r="A96" s="433">
        <v>61</v>
      </c>
      <c r="B96" s="440" t="s">
        <v>494</v>
      </c>
      <c r="C96" s="434" t="s">
        <v>495</v>
      </c>
      <c r="D96" s="434" t="s">
        <v>119</v>
      </c>
      <c r="E96" s="434"/>
      <c r="F96" s="434"/>
      <c r="G96" s="434"/>
      <c r="H96" s="434"/>
      <c r="I96" s="434"/>
      <c r="J96" s="434"/>
      <c r="K96" s="434" t="s">
        <v>496</v>
      </c>
      <c r="L96" s="434" t="s">
        <v>497</v>
      </c>
      <c r="M96" s="434" t="s">
        <v>3</v>
      </c>
      <c r="N96" s="49">
        <v>1600000000</v>
      </c>
      <c r="O96" s="69"/>
      <c r="P96" s="69">
        <v>1050000000</v>
      </c>
      <c r="Q96" s="643">
        <v>0.06</v>
      </c>
      <c r="R96" s="69"/>
      <c r="S96" s="69"/>
      <c r="T96" s="111">
        <f>P96-R96</f>
        <v>1050000000</v>
      </c>
      <c r="U96" s="49">
        <f>R96+S96</f>
        <v>0</v>
      </c>
      <c r="V96" s="58" t="s">
        <v>498</v>
      </c>
      <c r="W96" s="652"/>
    </row>
    <row r="97" spans="1:25" s="13" customFormat="1" ht="47.25" customHeight="1" outlineLevel="1" x14ac:dyDescent="0.25">
      <c r="A97" s="422">
        <v>62</v>
      </c>
      <c r="B97" s="417" t="s">
        <v>194</v>
      </c>
      <c r="C97" s="417" t="s">
        <v>195</v>
      </c>
      <c r="D97" s="417" t="s">
        <v>196</v>
      </c>
      <c r="E97" s="417" t="s">
        <v>57</v>
      </c>
      <c r="F97" s="417"/>
      <c r="G97" s="417"/>
      <c r="H97" s="417"/>
      <c r="I97" s="417"/>
      <c r="J97" s="417"/>
      <c r="K97" s="640" t="s">
        <v>371</v>
      </c>
      <c r="L97" s="417" t="s">
        <v>197</v>
      </c>
      <c r="M97" s="417" t="s">
        <v>57</v>
      </c>
      <c r="N97" s="431">
        <v>10000000</v>
      </c>
      <c r="O97" s="431">
        <f>IF(M97=$B$145,N97,IF(M97=$B$147,N97*$C$147/$C$145,IF(M97=$B$146,N97*$C$146/$C$145,IF(M97=$B$144,N97/$C$145))))</f>
        <v>10000000</v>
      </c>
      <c r="P97" s="431">
        <v>10000000</v>
      </c>
      <c r="Q97" s="444" t="s">
        <v>198</v>
      </c>
      <c r="R97" s="431">
        <v>2553676.86</v>
      </c>
      <c r="S97" s="431">
        <f>3533579.15874841+18816925/512.41+16022937.4/426.85+37537.63+37130+36723+37538+'[3]15,08,20 գործող'!$I$55</f>
        <v>3794713.4704706864</v>
      </c>
      <c r="T97" s="447">
        <f t="shared" si="11"/>
        <v>7446323.1400000006</v>
      </c>
      <c r="U97" s="431">
        <f>IF(M97=$B$145,T97,IF(M97=$B$147,T97*$C$147/$C$145,IF(M97=$B$146,T97*$C$146/$C$145,IF(M97=$B$144,T97/$C$145))))</f>
        <v>7446323.1400000006</v>
      </c>
      <c r="V97" s="414" t="s">
        <v>199</v>
      </c>
      <c r="W97" s="659" t="s">
        <v>499</v>
      </c>
      <c r="X97" s="12"/>
    </row>
    <row r="98" spans="1:25" s="13" customFormat="1" ht="51" customHeight="1" outlineLevel="1" thickBot="1" x14ac:dyDescent="0.3">
      <c r="A98" s="433">
        <v>63</v>
      </c>
      <c r="B98" s="434" t="s">
        <v>194</v>
      </c>
      <c r="C98" s="434" t="s">
        <v>139</v>
      </c>
      <c r="D98" s="434" t="s">
        <v>196</v>
      </c>
      <c r="E98" s="434"/>
      <c r="F98" s="434"/>
      <c r="G98" s="434"/>
      <c r="H98" s="434"/>
      <c r="I98" s="434"/>
      <c r="J98" s="434"/>
      <c r="K98" s="108" t="s">
        <v>372</v>
      </c>
      <c r="L98" s="434" t="s">
        <v>200</v>
      </c>
      <c r="M98" s="434" t="s">
        <v>3</v>
      </c>
      <c r="N98" s="49">
        <v>8000000000</v>
      </c>
      <c r="O98" s="49">
        <f>IF(M98=$B$145,N98,IF(M98=$B$147,N98*$C$147/$C$145,IF(M98=$B$146,N98*$C$146/$C$145,IF(M98=$B$144,N98/$C$145))))</f>
        <v>19887634.863023914</v>
      </c>
      <c r="P98" s="49">
        <v>8000000000</v>
      </c>
      <c r="Q98" s="60" t="s">
        <v>201</v>
      </c>
      <c r="R98" s="49"/>
      <c r="S98" s="49">
        <f>3496438357+79342466+80657534+79342466+79342466+1315069</f>
        <v>3816438358</v>
      </c>
      <c r="T98" s="436">
        <f>P98-R98</f>
        <v>8000000000</v>
      </c>
      <c r="U98" s="49">
        <f>IF(M98=$B$145,T98,IF(M98=$B$147,T98*$C$147/$C$145,IF(M98=$B$146,T98*$C$146/$C$145,IF(M98=$B$144,T98/$C$145))))</f>
        <v>19887634.863023914</v>
      </c>
      <c r="V98" s="58" t="s">
        <v>202</v>
      </c>
      <c r="W98" s="655" t="s">
        <v>500</v>
      </c>
      <c r="X98" s="12"/>
    </row>
    <row r="99" spans="1:25" s="20" customFormat="1" ht="24.75" customHeight="1" x14ac:dyDescent="0.25">
      <c r="A99" s="590" t="s">
        <v>203</v>
      </c>
      <c r="B99" s="591"/>
      <c r="C99" s="591"/>
      <c r="D99" s="594" t="s">
        <v>35</v>
      </c>
      <c r="E99" s="594"/>
      <c r="F99" s="594"/>
      <c r="G99" s="594"/>
      <c r="H99" s="594"/>
      <c r="I99" s="594"/>
      <c r="J99" s="594"/>
      <c r="K99" s="594"/>
      <c r="L99" s="594"/>
      <c r="M99" s="123"/>
      <c r="N99" s="24">
        <f>SUMIF($M$73:$M$98,D99,$N$73:$N$98)</f>
        <v>41500000</v>
      </c>
      <c r="O99" s="24"/>
      <c r="P99" s="24">
        <f>SUMIF($M$73:$M$98,D99,$P$73:$P$98)</f>
        <v>22258985.27</v>
      </c>
      <c r="Q99" s="24"/>
      <c r="R99" s="24">
        <f>SUMIF($M$73:$M$98,D99,$R$73:$R$98)</f>
        <v>29090.971703756208</v>
      </c>
      <c r="S99" s="24">
        <f>SUMIF($M$73:$M$98,D99,$S$73:$S$98)</f>
        <v>779879.60988818214</v>
      </c>
      <c r="T99" s="24">
        <f>SUMIF($M$73:$M$98,D99,$T$73:$T$98)</f>
        <v>22229894.298296243</v>
      </c>
      <c r="U99" s="24"/>
      <c r="V99" s="96"/>
      <c r="W99" s="651"/>
      <c r="X99" s="19"/>
    </row>
    <row r="100" spans="1:25" s="20" customFormat="1" ht="39" customHeight="1" x14ac:dyDescent="0.25">
      <c r="A100" s="592"/>
      <c r="B100" s="593"/>
      <c r="C100" s="593"/>
      <c r="D100" s="595" t="s">
        <v>3</v>
      </c>
      <c r="E100" s="595"/>
      <c r="F100" s="595"/>
      <c r="G100" s="595"/>
      <c r="H100" s="595"/>
      <c r="I100" s="595"/>
      <c r="J100" s="595"/>
      <c r="K100" s="595"/>
      <c r="L100" s="595"/>
      <c r="M100" s="97"/>
      <c r="N100" s="22">
        <f>SUMIF($M$73:$M$98,D100,$N$73:$N$98)</f>
        <v>18540988508.200001</v>
      </c>
      <c r="O100" s="22"/>
      <c r="P100" s="22">
        <f>SUMIF($M$73:$M$98,D100,$P$73:$P$98)</f>
        <v>18117946824</v>
      </c>
      <c r="Q100" s="22"/>
      <c r="R100" s="22">
        <f>SUMIF($M$73:$M$98,D100,$R$73:$R$98)</f>
        <v>3542407760.9000001</v>
      </c>
      <c r="S100" s="22">
        <f>SUMIF($M$73:$M$98,D100,$S$73:$S$98)</f>
        <v>3927547344.4000001</v>
      </c>
      <c r="T100" s="22">
        <f>SUMIF($M$73:$M$98,D100,$T$73:$T$98)</f>
        <v>14575539063.1</v>
      </c>
      <c r="U100" s="22"/>
      <c r="V100" s="98"/>
      <c r="W100" s="652"/>
      <c r="X100" s="19"/>
    </row>
    <row r="101" spans="1:25" s="20" customFormat="1" ht="39" customHeight="1" x14ac:dyDescent="0.25">
      <c r="A101" s="592"/>
      <c r="B101" s="593"/>
      <c r="C101" s="593"/>
      <c r="D101" s="595" t="s">
        <v>57</v>
      </c>
      <c r="E101" s="595"/>
      <c r="F101" s="595"/>
      <c r="G101" s="595"/>
      <c r="H101" s="595"/>
      <c r="I101" s="595"/>
      <c r="J101" s="595"/>
      <c r="K101" s="595"/>
      <c r="L101" s="595"/>
      <c r="M101" s="97"/>
      <c r="N101" s="22">
        <f>SUMIF($M$73:$M$98,D101,$N$73:$N$98)</f>
        <v>32967799.48</v>
      </c>
      <c r="O101" s="22">
        <f>SUM(O73:O98)</f>
        <v>118976832.21554416</v>
      </c>
      <c r="P101" s="22">
        <f>SUMIF($M$73:$M$98,D101,$P$73:$P$98)</f>
        <v>29785034.550000001</v>
      </c>
      <c r="Q101" s="22"/>
      <c r="R101" s="22">
        <f>SUMIF($M$73:$M$98,D101,$R$73:$R$98)</f>
        <v>8857682.9081556816</v>
      </c>
      <c r="S101" s="22">
        <f>SUMIF($M$73:$M$98,D101,$S$73:$S$98)</f>
        <v>5260130.0274282768</v>
      </c>
      <c r="T101" s="22">
        <f>SUMIF($M$73:$M$98,D101,$T$73:$T$98)</f>
        <v>21482350.675618332</v>
      </c>
      <c r="U101" s="22">
        <f>SUM(U73:U98)</f>
        <v>78618760.435962647</v>
      </c>
      <c r="V101" s="98"/>
      <c r="W101" s="652"/>
      <c r="X101" s="19"/>
    </row>
    <row r="102" spans="1:25" s="20" customFormat="1" ht="39" customHeight="1" thickBot="1" x14ac:dyDescent="0.3">
      <c r="A102" s="604"/>
      <c r="B102" s="605"/>
      <c r="C102" s="605"/>
      <c r="D102" s="606" t="s">
        <v>77</v>
      </c>
      <c r="E102" s="606"/>
      <c r="F102" s="606"/>
      <c r="G102" s="606"/>
      <c r="H102" s="606"/>
      <c r="I102" s="606"/>
      <c r="J102" s="606"/>
      <c r="K102" s="606"/>
      <c r="L102" s="606"/>
      <c r="M102" s="102"/>
      <c r="N102" s="23">
        <f>SUMIF($M$73:$M$98,D102,$N$73:$N$98)</f>
        <v>0</v>
      </c>
      <c r="O102" s="23"/>
      <c r="P102" s="23">
        <f>SUMIF($M$73:$M$98,D102,$P$73:$P$98)</f>
        <v>0</v>
      </c>
      <c r="Q102" s="23"/>
      <c r="R102" s="23">
        <f>SUMIF($M$73:$M$98,D102,$R$73:$R$98)</f>
        <v>0</v>
      </c>
      <c r="S102" s="23">
        <f>SUMIF($M$73:$M$98,D102,$S$73:$S$98)</f>
        <v>0</v>
      </c>
      <c r="T102" s="23">
        <f>SUMIF($M$73:$M$98,D102,$T$73:$T$98)</f>
        <v>0</v>
      </c>
      <c r="U102" s="23"/>
      <c r="V102" s="103"/>
      <c r="W102" s="653"/>
      <c r="X102" s="19"/>
    </row>
    <row r="103" spans="1:25" s="15" customFormat="1" ht="156.75" customHeight="1" outlineLevel="1" x14ac:dyDescent="0.25">
      <c r="A103" s="433">
        <v>64</v>
      </c>
      <c r="B103" s="411" t="s">
        <v>0</v>
      </c>
      <c r="C103" s="411" t="s">
        <v>1</v>
      </c>
      <c r="D103" s="411"/>
      <c r="E103" s="448"/>
      <c r="F103" s="448"/>
      <c r="G103" s="448"/>
      <c r="H103" s="448"/>
      <c r="I103" s="448"/>
      <c r="J103" s="448"/>
      <c r="K103" s="420" t="s">
        <v>373</v>
      </c>
      <c r="L103" s="420" t="s">
        <v>204</v>
      </c>
      <c r="M103" s="434" t="s">
        <v>3</v>
      </c>
      <c r="N103" s="121">
        <f>3047000000+3000000000</f>
        <v>6047000000</v>
      </c>
      <c r="O103" s="69">
        <f t="shared" ref="O103:O108" si="12">IF(M103=$B$145,N103,IF(M103=$B$147,N103*$C$147/$C$145,IF(M103=$B$146,N103*$C$146/$C$145,IF(M103=$B$144,N103/$C$145))))</f>
        <v>15032566.002088202</v>
      </c>
      <c r="P103" s="69">
        <v>6000000000</v>
      </c>
      <c r="Q103" s="432"/>
      <c r="R103" s="69">
        <f>4439902959+260956717.5+995441267.7+73262192.2+103703140+88648827.6+23704487.9</f>
        <v>5985619591.8999996</v>
      </c>
      <c r="S103" s="69"/>
      <c r="T103" s="430">
        <f>P103-R103</f>
        <v>14380408.100000381</v>
      </c>
      <c r="U103" s="431">
        <f>IF(M103=$B$145,T103,IF(M103=$B$147,T103*$C$147/$C$145,IF(M103=$B$146,T103*$C$146/$C$145,IF(M103=$B$144,T103/$C$145))))</f>
        <v>35749.038184259887</v>
      </c>
      <c r="V103" s="424" t="s">
        <v>82</v>
      </c>
      <c r="W103" s="651"/>
      <c r="X103" s="14"/>
    </row>
    <row r="104" spans="1:25" s="15" customFormat="1" ht="135" outlineLevel="1" x14ac:dyDescent="0.25">
      <c r="A104" s="433">
        <v>65</v>
      </c>
      <c r="B104" s="411" t="s">
        <v>4</v>
      </c>
      <c r="C104" s="411" t="s">
        <v>5</v>
      </c>
      <c r="D104" s="411"/>
      <c r="E104" s="448"/>
      <c r="F104" s="448"/>
      <c r="G104" s="448"/>
      <c r="H104" s="448"/>
      <c r="I104" s="448"/>
      <c r="J104" s="448"/>
      <c r="K104" s="420"/>
      <c r="L104" s="420" t="s">
        <v>389</v>
      </c>
      <c r="M104" s="434" t="s">
        <v>3</v>
      </c>
      <c r="N104" s="49">
        <f>2000000000+7300000000</f>
        <v>9300000000</v>
      </c>
      <c r="O104" s="69">
        <f t="shared" si="12"/>
        <v>23119375.528265301</v>
      </c>
      <c r="P104" s="69">
        <f>9024295000</f>
        <v>9024295000</v>
      </c>
      <c r="Q104" s="432"/>
      <c r="R104" s="430">
        <f>140537000+5009140+4849511288.30001+293553946.6+277518975.4+298090130.9+261563425.9+273040297.9+246795505.7+231942835.5+200000+276040115.2+210499563.5+221320560.6+300000+193123482.7+199186343.7+185073611.4+184150969.4+170369357.1+151027787.7+90490766.8+32284422.2+11509122.4+4064002</f>
        <v>8807202650.9000072</v>
      </c>
      <c r="S104" s="430">
        <f>34040214.6+16030636.8+1797857.1+7375602.5+3983531.1+11814600.3+22459610.6+9668538.8+11671711.4+6908264.6+1329981.6</f>
        <v>127080549.39999999</v>
      </c>
      <c r="T104" s="430">
        <f>P104-R104</f>
        <v>217092349.09999275</v>
      </c>
      <c r="U104" s="431">
        <f>IF(M104=$B$145,T104,IF(M104=$B$147,T104*$C$147/$C$145,IF(M104=$B$146,T104*$C$146/$C$145,IF(M104=$B$144,T104/$C$145))))</f>
        <v>539681.67130709684</v>
      </c>
      <c r="V104" s="424" t="s">
        <v>82</v>
      </c>
      <c r="W104" s="652"/>
      <c r="X104" s="14"/>
    </row>
    <row r="105" spans="1:25" s="15" customFormat="1" ht="175.5" outlineLevel="1" x14ac:dyDescent="0.25">
      <c r="A105" s="433">
        <v>66</v>
      </c>
      <c r="B105" s="411" t="s">
        <v>4</v>
      </c>
      <c r="C105" s="411" t="s">
        <v>7</v>
      </c>
      <c r="D105" s="411"/>
      <c r="E105" s="448"/>
      <c r="F105" s="448"/>
      <c r="G105" s="448"/>
      <c r="H105" s="448"/>
      <c r="I105" s="448"/>
      <c r="J105" s="448"/>
      <c r="K105" s="420" t="s">
        <v>374</v>
      </c>
      <c r="L105" s="420" t="s">
        <v>8</v>
      </c>
      <c r="M105" s="434" t="s">
        <v>3</v>
      </c>
      <c r="N105" s="49">
        <v>562500000</v>
      </c>
      <c r="O105" s="69">
        <f t="shared" si="12"/>
        <v>1398349.3263063692</v>
      </c>
      <c r="P105" s="69">
        <v>562500000</v>
      </c>
      <c r="Q105" s="432"/>
      <c r="R105" s="69"/>
      <c r="S105" s="69"/>
      <c r="T105" s="445">
        <f t="shared" ref="T105:T125" si="13">P105-R105</f>
        <v>562500000</v>
      </c>
      <c r="U105" s="431">
        <f>IF(M105=$B$145,T105,IF(M105=$B$147,T105*$C$147/$C$145,IF(M105=$B$146,T105*$C$146/$C$145,IF(M105=$B$144,T105/$C$145))))</f>
        <v>1398349.3263063692</v>
      </c>
      <c r="V105" s="424" t="s">
        <v>82</v>
      </c>
      <c r="W105" s="652"/>
      <c r="X105" s="14"/>
    </row>
    <row r="106" spans="1:25" s="15" customFormat="1" ht="147" customHeight="1" outlineLevel="1" x14ac:dyDescent="0.25">
      <c r="A106" s="433">
        <v>67</v>
      </c>
      <c r="B106" s="557" t="s">
        <v>0</v>
      </c>
      <c r="C106" s="557" t="s">
        <v>9</v>
      </c>
      <c r="D106" s="411"/>
      <c r="E106" s="448"/>
      <c r="F106" s="448"/>
      <c r="G106" s="448"/>
      <c r="H106" s="448"/>
      <c r="I106" s="448"/>
      <c r="J106" s="448"/>
      <c r="K106" s="420" t="s">
        <v>10</v>
      </c>
      <c r="L106" s="420" t="s">
        <v>11</v>
      </c>
      <c r="M106" s="434" t="s">
        <v>3</v>
      </c>
      <c r="N106" s="49">
        <v>2000000000</v>
      </c>
      <c r="O106" s="69">
        <f t="shared" si="12"/>
        <v>4971908.7157559786</v>
      </c>
      <c r="P106" s="69">
        <v>2000000000</v>
      </c>
      <c r="Q106" s="67">
        <v>2.7E-2</v>
      </c>
      <c r="R106" s="69"/>
      <c r="S106" s="436">
        <f>68417269.8+13462993.2+49643.9+1421840.5+38566246.5+491534.9+1119195.4+178355+29883.2</f>
        <v>123736962.40000002</v>
      </c>
      <c r="T106" s="436">
        <f t="shared" si="13"/>
        <v>2000000000</v>
      </c>
      <c r="U106" s="49">
        <f>IF(M106=$B$145,T106,IF(M106=$B$147,T106*$C$147/$C$145,IF(M106=$B$146,T106*$C$146/$C$145,IF(M106=$B$144,T106/$C$145))))</f>
        <v>4971908.7157559786</v>
      </c>
      <c r="V106" s="424" t="s">
        <v>82</v>
      </c>
      <c r="W106" s="652"/>
      <c r="X106" s="14"/>
    </row>
    <row r="107" spans="1:25" s="15" customFormat="1" ht="144.75" customHeight="1" outlineLevel="1" x14ac:dyDescent="0.25">
      <c r="A107" s="433">
        <v>68</v>
      </c>
      <c r="B107" s="567"/>
      <c r="C107" s="567"/>
      <c r="D107" s="448"/>
      <c r="E107" s="448"/>
      <c r="F107" s="448"/>
      <c r="G107" s="448"/>
      <c r="H107" s="448"/>
      <c r="I107" s="448"/>
      <c r="J107" s="448"/>
      <c r="K107" s="420" t="s">
        <v>12</v>
      </c>
      <c r="L107" s="420" t="s">
        <v>13</v>
      </c>
      <c r="M107" s="417" t="s">
        <v>3</v>
      </c>
      <c r="N107" s="49">
        <v>2000000000</v>
      </c>
      <c r="O107" s="69">
        <f t="shared" si="12"/>
        <v>4971908.7157559786</v>
      </c>
      <c r="P107" s="69">
        <v>2000000000</v>
      </c>
      <c r="Q107" s="125">
        <v>5.7000000000000002E-2</v>
      </c>
      <c r="R107" s="69"/>
      <c r="S107" s="69">
        <f>153819379.6+28421448.8+780809.1+528470.5+2614769.3+283790.1+5159868.8+1406739.9</f>
        <v>193015276.10000002</v>
      </c>
      <c r="T107" s="436">
        <f t="shared" si="13"/>
        <v>2000000000</v>
      </c>
      <c r="U107" s="431">
        <f>IF(M107=$B$145,T107,IF(M107=$B$147,T107*$C$147/$C$145,IF(M107=$B$146,T107*$C$146/$C$145,IF(M107=$B$144,T107/$C$145))))</f>
        <v>4971908.7157559786</v>
      </c>
      <c r="V107" s="424" t="s">
        <v>82</v>
      </c>
      <c r="W107" s="652"/>
      <c r="X107" s="14"/>
    </row>
    <row r="108" spans="1:25" s="15" customFormat="1" ht="90.75" customHeight="1" outlineLevel="1" thickBot="1" x14ac:dyDescent="0.3">
      <c r="A108" s="126">
        <v>69</v>
      </c>
      <c r="B108" s="619"/>
      <c r="C108" s="619"/>
      <c r="D108" s="127"/>
      <c r="E108" s="128"/>
      <c r="F108" s="128"/>
      <c r="G108" s="128"/>
      <c r="H108" s="128"/>
      <c r="I108" s="128"/>
      <c r="J108" s="128"/>
      <c r="K108" s="420" t="s">
        <v>390</v>
      </c>
      <c r="L108" s="129" t="s">
        <v>206</v>
      </c>
      <c r="M108" s="426" t="s">
        <v>3</v>
      </c>
      <c r="N108" s="131">
        <v>5000000000</v>
      </c>
      <c r="O108" s="132">
        <f t="shared" si="12"/>
        <v>12429771.789389947</v>
      </c>
      <c r="P108" s="132">
        <v>5000000000</v>
      </c>
      <c r="Q108" s="133">
        <v>2.7E-2</v>
      </c>
      <c r="R108" s="132"/>
      <c r="S108" s="132">
        <f>34209157.5+76580313.4+83507353.3+1840160.7</f>
        <v>196136984.89999998</v>
      </c>
      <c r="T108" s="134">
        <f t="shared" si="13"/>
        <v>5000000000</v>
      </c>
      <c r="U108" s="644">
        <f>IF(M108=$B$145,T108,IF(M108=$B$147,T108*$C$147/$C$145,IF(M108=$B$146,T108*$C$146/$C$145,IF(M108=$B$144,T108/$C$145))))</f>
        <v>12429771.789389947</v>
      </c>
      <c r="V108" s="424" t="s">
        <v>82</v>
      </c>
      <c r="W108" s="653"/>
      <c r="X108" s="14"/>
    </row>
    <row r="109" spans="1:25" s="20" customFormat="1" ht="30" customHeight="1" x14ac:dyDescent="0.25">
      <c r="A109" s="611" t="s">
        <v>207</v>
      </c>
      <c r="B109" s="612"/>
      <c r="C109" s="612"/>
      <c r="D109" s="613" t="s">
        <v>35</v>
      </c>
      <c r="E109" s="614"/>
      <c r="F109" s="614"/>
      <c r="G109" s="614"/>
      <c r="H109" s="614"/>
      <c r="I109" s="614"/>
      <c r="J109" s="614"/>
      <c r="K109" s="614"/>
      <c r="L109" s="615"/>
      <c r="M109" s="90"/>
      <c r="N109" s="25">
        <f>SUMIF($M$103:$M$108,D109,$N$103:$N$108)</f>
        <v>0</v>
      </c>
      <c r="O109" s="25"/>
      <c r="P109" s="25">
        <f>SUMIF($M$103:$M$108,D109,$P$103:$P$108)</f>
        <v>0</v>
      </c>
      <c r="Q109" s="25"/>
      <c r="R109" s="25">
        <f>SUMIF($M$103:$M$108,D109,$R$103:$R$108)</f>
        <v>0</v>
      </c>
      <c r="S109" s="25">
        <f>SUMIF($M$103:$M$108,D109,$S$103:$S$108)</f>
        <v>0</v>
      </c>
      <c r="T109" s="25">
        <f>SUMIF($M$103:$M$108,D109,$T$103:$T$108)</f>
        <v>0</v>
      </c>
      <c r="U109" s="25"/>
      <c r="V109" s="96"/>
      <c r="W109" s="651"/>
      <c r="X109" s="14"/>
      <c r="Y109" s="15"/>
    </row>
    <row r="110" spans="1:25" s="20" customFormat="1" ht="27" customHeight="1" x14ac:dyDescent="0.25">
      <c r="A110" s="592"/>
      <c r="B110" s="593"/>
      <c r="C110" s="593"/>
      <c r="D110" s="616" t="s">
        <v>3</v>
      </c>
      <c r="E110" s="617"/>
      <c r="F110" s="617"/>
      <c r="G110" s="617"/>
      <c r="H110" s="617"/>
      <c r="I110" s="617"/>
      <c r="J110" s="617"/>
      <c r="K110" s="617"/>
      <c r="L110" s="618"/>
      <c r="M110" s="97"/>
      <c r="N110" s="25">
        <f>SUMIF($M$103:$M$108,D110,$N$103:$N$108)</f>
        <v>24909500000</v>
      </c>
      <c r="P110" s="22">
        <f>SUMIF($M$103:$M$108,D110,$P$103:$P$108)</f>
        <v>24586795000</v>
      </c>
      <c r="Q110" s="22"/>
      <c r="R110" s="22">
        <f>SUMIF($M$103:$M$108,D110,$R$103:$R$108)</f>
        <v>14792822242.800007</v>
      </c>
      <c r="S110" s="22">
        <f>SUMIF($M$103:$M$108,D110,$S$103:$S$108)</f>
        <v>639969772.79999995</v>
      </c>
      <c r="T110" s="22">
        <f>SUMIF($M$103:$M$108,D110,$T$103:$T$108)</f>
        <v>9793972757.1999931</v>
      </c>
      <c r="U110" s="22"/>
      <c r="V110" s="98"/>
      <c r="W110" s="652"/>
      <c r="X110" s="14"/>
      <c r="Y110" s="15"/>
    </row>
    <row r="111" spans="1:25" s="20" customFormat="1" ht="28.5" customHeight="1" x14ac:dyDescent="0.25">
      <c r="A111" s="592"/>
      <c r="B111" s="593"/>
      <c r="C111" s="593"/>
      <c r="D111" s="616" t="s">
        <v>57</v>
      </c>
      <c r="E111" s="617"/>
      <c r="F111" s="617"/>
      <c r="G111" s="617"/>
      <c r="H111" s="617"/>
      <c r="I111" s="617"/>
      <c r="J111" s="617"/>
      <c r="K111" s="617"/>
      <c r="L111" s="618"/>
      <c r="M111" s="97"/>
      <c r="N111" s="25">
        <f>SUMIF($M$103:$M$108,D111,$N$103:$N$108)</f>
        <v>0</v>
      </c>
      <c r="O111" s="22">
        <f>SUM($O$103:$O$108)</f>
        <v>61923880.077561773</v>
      </c>
      <c r="P111" s="22">
        <f>SUMIF($M$103:$M$108,D111,$P$103:$P$108)</f>
        <v>0</v>
      </c>
      <c r="Q111" s="22"/>
      <c r="R111" s="22">
        <f>SUMIF($M$103:$M$108,D111,$R$103:$R$108)</f>
        <v>0</v>
      </c>
      <c r="S111" s="22">
        <f>SUMIF($M$103:$M$108,D111,$S$103:$S$108)</f>
        <v>0</v>
      </c>
      <c r="T111" s="22">
        <f>SUMIF($M$103:$M$108,D111,$T$103:$T$108)</f>
        <v>0</v>
      </c>
      <c r="U111" s="22">
        <f>SUM(U103:U108)</f>
        <v>24347369.256699629</v>
      </c>
      <c r="V111" s="98"/>
      <c r="W111" s="652"/>
      <c r="X111" s="19"/>
    </row>
    <row r="112" spans="1:25" s="20" customFormat="1" ht="30" customHeight="1" thickBot="1" x14ac:dyDescent="0.3">
      <c r="A112" s="604"/>
      <c r="B112" s="605"/>
      <c r="C112" s="605"/>
      <c r="D112" s="597" t="s">
        <v>77</v>
      </c>
      <c r="E112" s="598"/>
      <c r="F112" s="598"/>
      <c r="G112" s="598"/>
      <c r="H112" s="598"/>
      <c r="I112" s="598"/>
      <c r="J112" s="598"/>
      <c r="K112" s="598"/>
      <c r="L112" s="599"/>
      <c r="M112" s="102"/>
      <c r="N112" s="23">
        <f>SUMIF($M$103:$M$108,D112,$N$103:$N$108)</f>
        <v>0</v>
      </c>
      <c r="O112" s="23"/>
      <c r="P112" s="23">
        <f>SUMIF($M$103:$M$108,D112,$P$103:$P$108)</f>
        <v>0</v>
      </c>
      <c r="Q112" s="23"/>
      <c r="R112" s="23">
        <f>SUMIF($M$103:$M$108,D112,$R$103:$R$108)</f>
        <v>0</v>
      </c>
      <c r="S112" s="23">
        <f>SUMIF($M$103:$M$108,D112,$S$103:$S$108)</f>
        <v>0</v>
      </c>
      <c r="T112" s="23">
        <f>SUMIF($M$103:$M$108,D112,$T$103:$T$108)</f>
        <v>0</v>
      </c>
      <c r="U112" s="23"/>
      <c r="V112" s="103"/>
      <c r="W112" s="653"/>
      <c r="X112" s="19"/>
    </row>
    <row r="113" spans="1:24" s="15" customFormat="1" ht="121.5" outlineLevel="1" x14ac:dyDescent="0.25">
      <c r="A113" s="422">
        <v>70</v>
      </c>
      <c r="B113" s="415" t="s">
        <v>208</v>
      </c>
      <c r="C113" s="415" t="s">
        <v>209</v>
      </c>
      <c r="D113" s="411"/>
      <c r="E113" s="448"/>
      <c r="F113" s="448"/>
      <c r="G113" s="448"/>
      <c r="H113" s="448"/>
      <c r="I113" s="448"/>
      <c r="J113" s="448"/>
      <c r="K113" s="420" t="s">
        <v>375</v>
      </c>
      <c r="L113" s="420" t="s">
        <v>210</v>
      </c>
      <c r="M113" s="434" t="s">
        <v>3</v>
      </c>
      <c r="N113" s="136">
        <v>574491741</v>
      </c>
      <c r="O113" s="136">
        <f>IF(M113=$B$145,N113,IF(M113=$B$147,N113*$C$147/$C$145,IF(M113=$B$146,N113*$C$146/$C$145,IF(M113=$B$144,N113/$C$145))))</f>
        <v>1428160.2471038632</v>
      </c>
      <c r="P113" s="136">
        <v>574491741</v>
      </c>
      <c r="Q113" s="443">
        <v>1E-4</v>
      </c>
      <c r="R113" s="136">
        <f>132575017.2</f>
        <v>132575017.2</v>
      </c>
      <c r="S113" s="136">
        <f>85623+14165+39966.7</f>
        <v>139754.70000000001</v>
      </c>
      <c r="T113" s="446">
        <f t="shared" si="13"/>
        <v>441916723.80000001</v>
      </c>
      <c r="U113" s="431">
        <f>IF(M113=$B$145,T113,IF(M113=$B$147,T113*$C$147/$C$145,IF(M113=$B$146,T113*$C$146/$C$145,IF(M113=$B$144,T113/$C$145))))</f>
        <v>1098584.8053497737</v>
      </c>
      <c r="V113" s="425" t="s">
        <v>211</v>
      </c>
      <c r="W113" s="651"/>
      <c r="X113" s="14"/>
    </row>
    <row r="114" spans="1:24" s="15" customFormat="1" ht="121.5" outlineLevel="1" x14ac:dyDescent="0.25">
      <c r="A114" s="433">
        <v>71</v>
      </c>
      <c r="B114" s="423" t="s">
        <v>212</v>
      </c>
      <c r="C114" s="423" t="s">
        <v>209</v>
      </c>
      <c r="D114" s="411"/>
      <c r="E114" s="448"/>
      <c r="F114" s="448"/>
      <c r="G114" s="448"/>
      <c r="H114" s="448"/>
      <c r="I114" s="448"/>
      <c r="J114" s="448"/>
      <c r="K114" s="420" t="s">
        <v>376</v>
      </c>
      <c r="L114" s="420" t="s">
        <v>213</v>
      </c>
      <c r="M114" s="434" t="s">
        <v>3</v>
      </c>
      <c r="N114" s="121">
        <v>98612371</v>
      </c>
      <c r="O114" s="121">
        <f>IF(M114=$B$145,N114,IF(M114=$B$147,N114*$C$147/$C$145,IF(M114=$B$146,N114*$C$146/$C$145,IF(M114=$B$144,N114/$C$145))))</f>
        <v>245145.85342813106</v>
      </c>
      <c r="P114" s="111">
        <v>98612371</v>
      </c>
      <c r="Q114" s="427">
        <v>1E-4</v>
      </c>
      <c r="R114" s="111"/>
      <c r="S114" s="111">
        <v>17060</v>
      </c>
      <c r="T114" s="445">
        <f t="shared" si="13"/>
        <v>98612371</v>
      </c>
      <c r="U114" s="431">
        <f>IF(M114=$B$145,T114,IF(M114=$B$147,T114*$C$147/$C$145,IF(M114=$B$146,T114*$C$146/$C$145,IF(M114=$B$144,T114/$C$145))))</f>
        <v>245145.85342813106</v>
      </c>
      <c r="V114" s="424" t="s">
        <v>214</v>
      </c>
      <c r="W114" s="652"/>
      <c r="X114" s="14"/>
    </row>
    <row r="115" spans="1:24" s="15" customFormat="1" ht="121.5" outlineLevel="1" x14ac:dyDescent="0.25">
      <c r="A115" s="433">
        <v>72</v>
      </c>
      <c r="B115" s="423" t="s">
        <v>215</v>
      </c>
      <c r="C115" s="423" t="s">
        <v>209</v>
      </c>
      <c r="D115" s="411"/>
      <c r="E115" s="448"/>
      <c r="F115" s="448"/>
      <c r="G115" s="448"/>
      <c r="H115" s="448"/>
      <c r="I115" s="448"/>
      <c r="J115" s="448"/>
      <c r="K115" s="420" t="s">
        <v>377</v>
      </c>
      <c r="L115" s="420" t="s">
        <v>216</v>
      </c>
      <c r="M115" s="434" t="s">
        <v>3</v>
      </c>
      <c r="N115" s="121">
        <v>60132468</v>
      </c>
      <c r="O115" s="121">
        <f>IF(M115=$B$145,N115,IF(M115=$B$147,N115*$C$147/$C$145,IF(M115=$B$146,N115*$C$146/$C$145,IF(M115=$B$144,N115/$C$145))))</f>
        <v>149486.57087455873</v>
      </c>
      <c r="P115" s="111">
        <v>60132468</v>
      </c>
      <c r="Q115" s="427">
        <v>1E-4</v>
      </c>
      <c r="R115" s="111">
        <f>4625574.5+4625574.5+4625574.5+4625574.5+4625575+4625575</f>
        <v>27753448</v>
      </c>
      <c r="S115" s="111">
        <f>10367+1511.2+1400+1500+1500+1000</f>
        <v>17278.2</v>
      </c>
      <c r="T115" s="445">
        <f t="shared" si="13"/>
        <v>32379020</v>
      </c>
      <c r="U115" s="431">
        <f>IF(M115=$B$145,T115,IF(M115=$B$147,T115*$C$147/$C$145,IF(M115=$B$146,T115*$C$146/$C$145,IF(M115=$B$144,T115/$C$145))))</f>
        <v>80492.765872818578</v>
      </c>
      <c r="V115" s="424" t="s">
        <v>217</v>
      </c>
      <c r="W115" s="660"/>
      <c r="X115" s="26"/>
    </row>
    <row r="116" spans="1:24" s="15" customFormat="1" ht="121.5" outlineLevel="1" x14ac:dyDescent="0.25">
      <c r="A116" s="433">
        <v>73</v>
      </c>
      <c r="B116" s="423" t="s">
        <v>218</v>
      </c>
      <c r="C116" s="423" t="s">
        <v>209</v>
      </c>
      <c r="D116" s="411"/>
      <c r="E116" s="448"/>
      <c r="F116" s="448"/>
      <c r="G116" s="448"/>
      <c r="H116" s="448"/>
      <c r="I116" s="448"/>
      <c r="J116" s="448"/>
      <c r="K116" s="420" t="s">
        <v>378</v>
      </c>
      <c r="L116" s="420" t="s">
        <v>219</v>
      </c>
      <c r="M116" s="434" t="s">
        <v>3</v>
      </c>
      <c r="N116" s="49">
        <f>9500000+12453199</f>
        <v>21953199</v>
      </c>
      <c r="O116" s="121">
        <f>IF(M116=$B$145,N116,IF(M116=$B$147,N116*$C$147/$C$145,IF(M116=$B$146,N116*$C$146/$C$145,IF(M116=$B$144,N116/$C$145))))</f>
        <v>54574.65072341272</v>
      </c>
      <c r="P116" s="111">
        <f>9500000+12453199</f>
        <v>21953199</v>
      </c>
      <c r="Q116" s="427">
        <v>1E-4</v>
      </c>
      <c r="R116" s="111"/>
      <c r="S116" s="111">
        <v>3720</v>
      </c>
      <c r="T116" s="445">
        <f t="shared" si="13"/>
        <v>21953199</v>
      </c>
      <c r="U116" s="431">
        <f>IF(M116=$B$145,T116,IF(M116=$B$147,T116*$C$147/$C$145,IF(M116=$B$146,T116*$C$146/$C$145,IF(M116=$B$144,T116/$C$145))))</f>
        <v>54574.65072341272</v>
      </c>
      <c r="V116" s="424" t="s">
        <v>220</v>
      </c>
      <c r="W116" s="660"/>
      <c r="X116" s="26"/>
    </row>
    <row r="117" spans="1:24" s="15" customFormat="1" ht="129.75" customHeight="1" outlineLevel="1" x14ac:dyDescent="0.25">
      <c r="A117" s="433">
        <v>74</v>
      </c>
      <c r="B117" s="423" t="s">
        <v>221</v>
      </c>
      <c r="C117" s="423" t="s">
        <v>209</v>
      </c>
      <c r="D117" s="411"/>
      <c r="E117" s="448"/>
      <c r="F117" s="448"/>
      <c r="G117" s="448"/>
      <c r="H117" s="448"/>
      <c r="I117" s="448"/>
      <c r="J117" s="448"/>
      <c r="K117" s="420" t="s">
        <v>378</v>
      </c>
      <c r="L117" s="420" t="s">
        <v>222</v>
      </c>
      <c r="M117" s="434" t="s">
        <v>3</v>
      </c>
      <c r="N117" s="121">
        <v>15801400</v>
      </c>
      <c r="O117" s="121">
        <f>IF(M117=$B$145,N117,IF(M117=$B$147,N117*$C$147/$C$145,IF(M117=$B$146,N117*$C$146/$C$145,IF(M117=$B$144,N117/$C$145))))</f>
        <v>39281.559190573265</v>
      </c>
      <c r="P117" s="111">
        <v>15801400</v>
      </c>
      <c r="Q117" s="427">
        <v>1E-4</v>
      </c>
      <c r="R117" s="111"/>
      <c r="S117" s="111">
        <v>3500</v>
      </c>
      <c r="T117" s="445">
        <f t="shared" si="13"/>
        <v>15801400</v>
      </c>
      <c r="U117" s="431">
        <f>IF(M117=$B$145,T117,IF(M117=$B$147,T117*$C$147/$C$145,IF(M117=$B$146,T117*$C$146/$C$145,IF(M117=$B$144,T117/$C$145))))</f>
        <v>39281.559190573265</v>
      </c>
      <c r="V117" s="424" t="s">
        <v>223</v>
      </c>
      <c r="W117" s="660"/>
      <c r="X117" s="26"/>
    </row>
    <row r="118" spans="1:24" s="15" customFormat="1" ht="129.75" customHeight="1" outlineLevel="1" x14ac:dyDescent="0.25">
      <c r="A118" s="433">
        <v>75</v>
      </c>
      <c r="B118" s="423" t="s">
        <v>224</v>
      </c>
      <c r="C118" s="423" t="s">
        <v>209</v>
      </c>
      <c r="D118" s="411"/>
      <c r="E118" s="448"/>
      <c r="F118" s="448"/>
      <c r="G118" s="448"/>
      <c r="H118" s="448"/>
      <c r="I118" s="448"/>
      <c r="J118" s="448"/>
      <c r="K118" s="420" t="s">
        <v>378</v>
      </c>
      <c r="L118" s="420" t="s">
        <v>222</v>
      </c>
      <c r="M118" s="434" t="s">
        <v>3</v>
      </c>
      <c r="N118" s="121">
        <v>2554000</v>
      </c>
      <c r="O118" s="121">
        <f>IF(M118=$B$145,N118,IF(M118=$B$147,N118*$C$147/$C$145,IF(M118=$B$146,N118*$C$146/$C$145,IF(M118=$B$144,N118/$C$145))))</f>
        <v>6349.127430020385</v>
      </c>
      <c r="P118" s="111">
        <v>2554000</v>
      </c>
      <c r="Q118" s="427">
        <v>1E-4</v>
      </c>
      <c r="R118" s="111"/>
      <c r="S118" s="111">
        <f>500</f>
        <v>500</v>
      </c>
      <c r="T118" s="445">
        <f t="shared" si="13"/>
        <v>2554000</v>
      </c>
      <c r="U118" s="431">
        <f>IF(M118=$B$145,T118,IF(M118=$B$147,T118*$C$147/$C$145,IF(M118=$B$146,T118*$C$146/$C$145,IF(M118=$B$144,T118/$C$145))))</f>
        <v>6349.127430020385</v>
      </c>
      <c r="V118" s="424" t="s">
        <v>225</v>
      </c>
      <c r="W118" s="660"/>
      <c r="X118" s="26"/>
    </row>
    <row r="119" spans="1:24" s="15" customFormat="1" ht="129.75" customHeight="1" outlineLevel="1" x14ac:dyDescent="0.25">
      <c r="A119" s="433">
        <v>76</v>
      </c>
      <c r="B119" s="423" t="s">
        <v>226</v>
      </c>
      <c r="C119" s="423" t="s">
        <v>209</v>
      </c>
      <c r="D119" s="411"/>
      <c r="E119" s="448"/>
      <c r="F119" s="448"/>
      <c r="G119" s="448"/>
      <c r="H119" s="448"/>
      <c r="I119" s="448"/>
      <c r="J119" s="448"/>
      <c r="K119" s="420" t="s">
        <v>378</v>
      </c>
      <c r="L119" s="420" t="s">
        <v>227</v>
      </c>
      <c r="M119" s="434" t="s">
        <v>3</v>
      </c>
      <c r="N119" s="121">
        <v>29053320</v>
      </c>
      <c r="O119" s="121">
        <f>IF(M119=$B$145,N119,IF(M119=$B$147,N119*$C$147/$C$145,IF(M119=$B$146,N119*$C$146/$C$145,IF(M119=$B$144,N119/$C$145))))</f>
        <v>72225.227464823751</v>
      </c>
      <c r="P119" s="111">
        <v>29053320</v>
      </c>
      <c r="Q119" s="427">
        <v>1E-4</v>
      </c>
      <c r="R119" s="111"/>
      <c r="S119" s="111">
        <f>2000+3000</f>
        <v>5000</v>
      </c>
      <c r="T119" s="445">
        <f t="shared" si="13"/>
        <v>29053320</v>
      </c>
      <c r="U119" s="431">
        <f>IF(M119=$B$145,T119,IF(M119=$B$147,T119*$C$147/$C$145,IF(M119=$B$146,T119*$C$146/$C$145,IF(M119=$B$144,T119/$C$145))))</f>
        <v>72225.227464823751</v>
      </c>
      <c r="V119" s="424" t="s">
        <v>228</v>
      </c>
      <c r="W119" s="660"/>
      <c r="X119" s="26"/>
    </row>
    <row r="120" spans="1:24" s="15" customFormat="1" ht="129.75" customHeight="1" outlineLevel="1" x14ac:dyDescent="0.25">
      <c r="A120" s="433">
        <v>77</v>
      </c>
      <c r="B120" s="423" t="s">
        <v>229</v>
      </c>
      <c r="C120" s="423" t="s">
        <v>209</v>
      </c>
      <c r="D120" s="411"/>
      <c r="E120" s="448"/>
      <c r="F120" s="448"/>
      <c r="G120" s="448"/>
      <c r="H120" s="448"/>
      <c r="I120" s="448"/>
      <c r="J120" s="448"/>
      <c r="K120" s="420" t="s">
        <v>378</v>
      </c>
      <c r="L120" s="420" t="s">
        <v>230</v>
      </c>
      <c r="M120" s="434" t="s">
        <v>3</v>
      </c>
      <c r="N120" s="121">
        <v>192064443</v>
      </c>
      <c r="O120" s="121">
        <f>IF(M120=$B$145,N120,IF(M120=$B$147,N120*$C$147/$C$145,IF(M120=$B$146,N120*$C$146/$C$145,IF(M120=$B$144,N120/$C$145))))</f>
        <v>477463.43906925869</v>
      </c>
      <c r="P120" s="111">
        <f>95000000+97064443</f>
        <v>192064443</v>
      </c>
      <c r="Q120" s="427">
        <v>1E-4</v>
      </c>
      <c r="R120" s="111">
        <f>65000000+20000000</f>
        <v>85000000</v>
      </c>
      <c r="S120" s="111">
        <f>16100+12200+23933</f>
        <v>52233</v>
      </c>
      <c r="T120" s="445">
        <f t="shared" si="13"/>
        <v>107064443</v>
      </c>
      <c r="U120" s="431">
        <f>IF(M120=$B$145,T120,IF(M120=$B$147,T120*$C$147/$C$145,IF(M120=$B$146,T120*$C$146/$C$145,IF(M120=$B$144,T120/$C$145))))</f>
        <v>266157.3186496296</v>
      </c>
      <c r="V120" s="424" t="s">
        <v>231</v>
      </c>
      <c r="W120" s="660"/>
      <c r="X120" s="26"/>
    </row>
    <row r="121" spans="1:24" s="15" customFormat="1" ht="129.75" customHeight="1" outlineLevel="1" x14ac:dyDescent="0.25">
      <c r="A121" s="433">
        <v>78</v>
      </c>
      <c r="B121" s="423" t="s">
        <v>233</v>
      </c>
      <c r="C121" s="423" t="s">
        <v>209</v>
      </c>
      <c r="D121" s="411"/>
      <c r="E121" s="448"/>
      <c r="F121" s="448"/>
      <c r="G121" s="448"/>
      <c r="H121" s="448"/>
      <c r="I121" s="448"/>
      <c r="J121" s="448"/>
      <c r="K121" s="420" t="s">
        <v>378</v>
      </c>
      <c r="L121" s="420" t="s">
        <v>232</v>
      </c>
      <c r="M121" s="434" t="s">
        <v>3</v>
      </c>
      <c r="N121" s="121">
        <v>3469534</v>
      </c>
      <c r="O121" s="121">
        <f>IF(M121=$B$145,N121,IF(M121=$B$147,N121*$C$147/$C$145,IF(M121=$B$146,N121*$C$146/$C$145,IF(M121=$B$144,N121/$C$145))))</f>
        <v>8625.1031671058518</v>
      </c>
      <c r="P121" s="111">
        <v>3469534</v>
      </c>
      <c r="Q121" s="427">
        <v>1E-4</v>
      </c>
      <c r="R121" s="111">
        <v>266887</v>
      </c>
      <c r="S121" s="111">
        <f>600+86</f>
        <v>686</v>
      </c>
      <c r="T121" s="445">
        <f t="shared" si="13"/>
        <v>3202647</v>
      </c>
      <c r="U121" s="431">
        <f>IF(M121=$B$145,T121,IF(M121=$B$147,T121*$C$147/$C$145,IF(M121=$B$146,T121*$C$146/$C$145,IF(M121=$B$144,T121/$C$145))))</f>
        <v>7961.634266394869</v>
      </c>
      <c r="V121" s="424" t="s">
        <v>234</v>
      </c>
      <c r="W121" s="660"/>
      <c r="X121" s="26"/>
    </row>
    <row r="122" spans="1:24" s="15" customFormat="1" ht="129.75" customHeight="1" outlineLevel="1" x14ac:dyDescent="0.25">
      <c r="A122" s="433">
        <v>79</v>
      </c>
      <c r="B122" s="423" t="s">
        <v>235</v>
      </c>
      <c r="C122" s="423" t="s">
        <v>209</v>
      </c>
      <c r="D122" s="411"/>
      <c r="E122" s="448"/>
      <c r="F122" s="448"/>
      <c r="G122" s="448"/>
      <c r="H122" s="448"/>
      <c r="I122" s="448"/>
      <c r="J122" s="448"/>
      <c r="K122" s="420" t="s">
        <v>378</v>
      </c>
      <c r="L122" s="420" t="s">
        <v>236</v>
      </c>
      <c r="M122" s="434" t="s">
        <v>3</v>
      </c>
      <c r="N122" s="121">
        <v>11781702</v>
      </c>
      <c r="O122" s="121">
        <f>IF(M122=$B$145,N122,IF(M122=$B$147,N122*$C$147/$C$145,IF(M122=$B$146,N122*$C$146/$C$145,IF(M122=$B$144,N122/$C$145))))</f>
        <v>29288.773430119825</v>
      </c>
      <c r="P122" s="111">
        <v>11781702</v>
      </c>
      <c r="Q122" s="427">
        <v>1E-4</v>
      </c>
      <c r="R122" s="111">
        <f>906285+906285+906285+906285+906285+906285</f>
        <v>5437710</v>
      </c>
      <c r="S122" s="111">
        <f>3000+1500+1500</f>
        <v>6000</v>
      </c>
      <c r="T122" s="445">
        <f t="shared" si="13"/>
        <v>6343992</v>
      </c>
      <c r="U122" s="431">
        <f>IF(M122=$B$145,T122,IF(M122=$B$147,T122*$C$147/$C$145,IF(M122=$B$146,T122*$C$146/$C$145,IF(M122=$B$144,T122/$C$145))))</f>
        <v>15770.874558743102</v>
      </c>
      <c r="V122" s="424" t="s">
        <v>237</v>
      </c>
      <c r="W122" s="660"/>
      <c r="X122" s="26"/>
    </row>
    <row r="123" spans="1:24" s="15" customFormat="1" ht="129.75" customHeight="1" outlineLevel="1" x14ac:dyDescent="0.25">
      <c r="A123" s="433">
        <v>80</v>
      </c>
      <c r="B123" s="423" t="s">
        <v>238</v>
      </c>
      <c r="C123" s="423" t="s">
        <v>209</v>
      </c>
      <c r="D123" s="411"/>
      <c r="E123" s="448"/>
      <c r="F123" s="448"/>
      <c r="G123" s="448"/>
      <c r="H123" s="448"/>
      <c r="I123" s="448"/>
      <c r="J123" s="448"/>
      <c r="K123" s="420" t="s">
        <v>378</v>
      </c>
      <c r="L123" s="420" t="s">
        <v>239</v>
      </c>
      <c r="M123" s="434" t="s">
        <v>3</v>
      </c>
      <c r="N123" s="121">
        <f>112000000+16200000</f>
        <v>128200000</v>
      </c>
      <c r="O123" s="121">
        <f>IF(M123=$B$145,N123,IF(M123=$B$147,N123*$C$147/$C$145,IF(M123=$B$146,N123*$C$146/$C$145,IF(M123=$B$144,N123/$C$145))))</f>
        <v>318699.34867995826</v>
      </c>
      <c r="P123" s="111">
        <f>112000000+16200000</f>
        <v>128200000</v>
      </c>
      <c r="Q123" s="427">
        <v>1E-4</v>
      </c>
      <c r="R123" s="111">
        <f>3000000+3000000</f>
        <v>6000000</v>
      </c>
      <c r="S123" s="111">
        <f>25640+12820</f>
        <v>38460</v>
      </c>
      <c r="T123" s="445">
        <f t="shared" si="13"/>
        <v>122200000</v>
      </c>
      <c r="U123" s="431">
        <f>IF(M123=$B$145,T123,IF(M123=$B$147,T123*$C$147/$C$145,IF(M123=$B$146,T123*$C$146/$C$145,IF(M123=$B$144,T123/$C$145))))</f>
        <v>303783.62253269029</v>
      </c>
      <c r="V123" s="424" t="s">
        <v>240</v>
      </c>
      <c r="W123" s="660"/>
      <c r="X123" s="26"/>
    </row>
    <row r="124" spans="1:24" s="15" customFormat="1" ht="129.75" customHeight="1" outlineLevel="1" x14ac:dyDescent="0.25">
      <c r="A124" s="433">
        <v>81</v>
      </c>
      <c r="B124" s="423" t="s">
        <v>241</v>
      </c>
      <c r="C124" s="423" t="s">
        <v>209</v>
      </c>
      <c r="D124" s="411"/>
      <c r="E124" s="448"/>
      <c r="F124" s="448"/>
      <c r="G124" s="448"/>
      <c r="H124" s="448"/>
      <c r="I124" s="448"/>
      <c r="J124" s="448"/>
      <c r="K124" s="420" t="s">
        <v>378</v>
      </c>
      <c r="L124" s="420" t="s">
        <v>242</v>
      </c>
      <c r="M124" s="434" t="s">
        <v>3</v>
      </c>
      <c r="N124" s="121">
        <v>26127500</v>
      </c>
      <c r="O124" s="121">
        <f>IF(M124=$B$145,N124,IF(M124=$B$147,N124*$C$147/$C$145,IF(M124=$B$146,N124*$C$146/$C$145,IF(M124=$B$144,N124/$C$145))))</f>
        <v>64951.772485457172</v>
      </c>
      <c r="P124" s="111">
        <v>26127500</v>
      </c>
      <c r="Q124" s="427">
        <v>1E-4</v>
      </c>
      <c r="R124" s="111"/>
      <c r="S124" s="111">
        <f>4530</f>
        <v>4530</v>
      </c>
      <c r="T124" s="445">
        <f t="shared" si="13"/>
        <v>26127500</v>
      </c>
      <c r="U124" s="431">
        <f>IF(M124=$B$145,T124,IF(M124=$B$147,T124*$C$147/$C$145,IF(M124=$B$146,T124*$C$146/$C$145,IF(M124=$B$144,T124/$C$145))))</f>
        <v>64951.772485457172</v>
      </c>
      <c r="V124" s="424" t="s">
        <v>243</v>
      </c>
      <c r="W124" s="660"/>
      <c r="X124" s="26"/>
    </row>
    <row r="125" spans="1:24" s="15" customFormat="1" ht="129.75" customHeight="1" outlineLevel="1" x14ac:dyDescent="0.25">
      <c r="A125" s="433">
        <v>82</v>
      </c>
      <c r="B125" s="423" t="s">
        <v>244</v>
      </c>
      <c r="C125" s="423" t="s">
        <v>209</v>
      </c>
      <c r="D125" s="411"/>
      <c r="E125" s="448"/>
      <c r="F125" s="448"/>
      <c r="G125" s="448"/>
      <c r="H125" s="448"/>
      <c r="I125" s="448"/>
      <c r="J125" s="448"/>
      <c r="K125" s="420" t="s">
        <v>378</v>
      </c>
      <c r="L125" s="420" t="s">
        <v>245</v>
      </c>
      <c r="M125" s="434" t="s">
        <v>3</v>
      </c>
      <c r="N125" s="121">
        <v>19297200</v>
      </c>
      <c r="O125" s="121">
        <f>IF(M125=$B$145,N125,IF(M125=$B$147,N125*$C$147/$C$145,IF(M125=$B$146,N125*$C$146/$C$145,IF(M125=$B$144,N125/$C$145))))</f>
        <v>47971.958434843138</v>
      </c>
      <c r="P125" s="111">
        <f>10800000+3440000+1440000+3617200</f>
        <v>19297200</v>
      </c>
      <c r="Q125" s="427">
        <v>1E-4</v>
      </c>
      <c r="R125" s="111"/>
      <c r="S125" s="111">
        <f>3000</f>
        <v>3000</v>
      </c>
      <c r="T125" s="445">
        <f t="shared" si="13"/>
        <v>19297200</v>
      </c>
      <c r="U125" s="431">
        <f>IF(M125=$B$145,T125,IF(M125=$B$147,T125*$C$147/$C$145,IF(M125=$B$146,T125*$C$146/$C$145,IF(M125=$B$144,T125/$C$145))))</f>
        <v>47971.958434843138</v>
      </c>
      <c r="V125" s="424" t="s">
        <v>246</v>
      </c>
      <c r="W125" s="660"/>
      <c r="X125" s="26"/>
    </row>
    <row r="126" spans="1:24" s="15" customFormat="1" ht="129.75" customHeight="1" outlineLevel="1" x14ac:dyDescent="0.25">
      <c r="A126" s="433">
        <v>83</v>
      </c>
      <c r="B126" s="423" t="s">
        <v>247</v>
      </c>
      <c r="C126" s="423" t="s">
        <v>209</v>
      </c>
      <c r="D126" s="411"/>
      <c r="E126" s="448"/>
      <c r="F126" s="448"/>
      <c r="G126" s="448"/>
      <c r="H126" s="448"/>
      <c r="I126" s="448"/>
      <c r="J126" s="448"/>
      <c r="K126" s="420" t="s">
        <v>378</v>
      </c>
      <c r="L126" s="420" t="s">
        <v>232</v>
      </c>
      <c r="M126" s="434" t="s">
        <v>3</v>
      </c>
      <c r="N126" s="121">
        <v>2164000</v>
      </c>
      <c r="O126" s="121">
        <f>IF(M126=$B$145,N126,IF(M126=$B$147,N126*$C$147/$C$145,IF(M126=$B$146,N126*$C$146/$C$145,IF(M126=$B$144,N126/$C$145))))</f>
        <v>5379.605230447969</v>
      </c>
      <c r="P126" s="111">
        <v>2164000</v>
      </c>
      <c r="Q126" s="427">
        <v>1E-4</v>
      </c>
      <c r="R126" s="111">
        <f>166462+166462+165000+167000+166500</f>
        <v>831424</v>
      </c>
      <c r="S126" s="111">
        <f>370+54.8+100+100</f>
        <v>624.79999999999995</v>
      </c>
      <c r="T126" s="445">
        <f>P126-S126</f>
        <v>2163375.2000000002</v>
      </c>
      <c r="U126" s="431">
        <f>IF(M126=$B$145,T126,IF(M126=$B$147,T126*$C$147/$C$145,IF(M126=$B$146,T126*$C$146/$C$145,IF(M126=$B$144,T126/$C$145))))</f>
        <v>5378.0520061651678</v>
      </c>
      <c r="V126" s="424" t="s">
        <v>248</v>
      </c>
      <c r="W126" s="660"/>
      <c r="X126" s="26"/>
    </row>
    <row r="127" spans="1:24" s="15" customFormat="1" ht="129.75" customHeight="1" outlineLevel="1" x14ac:dyDescent="0.25">
      <c r="A127" s="433">
        <v>84</v>
      </c>
      <c r="B127" s="423" t="s">
        <v>249</v>
      </c>
      <c r="C127" s="423" t="s">
        <v>209</v>
      </c>
      <c r="D127" s="423"/>
      <c r="E127" s="423"/>
      <c r="F127" s="423"/>
      <c r="G127" s="423"/>
      <c r="H127" s="423"/>
      <c r="I127" s="423"/>
      <c r="J127" s="423"/>
      <c r="K127" s="420" t="s">
        <v>378</v>
      </c>
      <c r="L127" s="420" t="s">
        <v>250</v>
      </c>
      <c r="M127" s="434" t="s">
        <v>3</v>
      </c>
      <c r="N127" s="121">
        <v>253504102</v>
      </c>
      <c r="O127" s="121">
        <f>IF(M127=$B$145,N127,IF(M127=$B$147,N127*$C$147/$C$145,IF(M127=$B$146,N127*$C$146/$C$145,IF(M127=$B$144,N127/$C$145))))</f>
        <v>630199.62710684631</v>
      </c>
      <c r="P127" s="111">
        <v>253504102</v>
      </c>
      <c r="Q127" s="427">
        <v>1E-4</v>
      </c>
      <c r="R127" s="111">
        <f>19500316+19500316+19500315+19500315</f>
        <v>78001262</v>
      </c>
      <c r="S127" s="111">
        <f>5973+6390+6181+6389+6181.4+6390+6390+6390+6389+5407+7015</f>
        <v>69095.399999999994</v>
      </c>
      <c r="T127" s="445">
        <f t="shared" ref="T127:T133" si="14">P127-R127</f>
        <v>175502840</v>
      </c>
      <c r="U127" s="431">
        <f>IF(M127=$B$145,T127,IF(M127=$B$147,T127*$C$147/$C$145,IF(M127=$B$146,T127*$C$146/$C$145,IF(M127=$B$144,T127/$C$145))))</f>
        <v>436292.04991796351</v>
      </c>
      <c r="V127" s="424" t="s">
        <v>251</v>
      </c>
      <c r="W127" s="660"/>
      <c r="X127" s="26"/>
    </row>
    <row r="128" spans="1:24" s="15" customFormat="1" ht="129.75" customHeight="1" outlineLevel="1" x14ac:dyDescent="0.25">
      <c r="A128" s="433">
        <v>85</v>
      </c>
      <c r="B128" s="423" t="s">
        <v>252</v>
      </c>
      <c r="C128" s="423" t="s">
        <v>209</v>
      </c>
      <c r="D128" s="411"/>
      <c r="E128" s="448"/>
      <c r="F128" s="448"/>
      <c r="G128" s="448"/>
      <c r="H128" s="448"/>
      <c r="I128" s="448"/>
      <c r="J128" s="448"/>
      <c r="K128" s="420" t="s">
        <v>378</v>
      </c>
      <c r="L128" s="420" t="s">
        <v>250</v>
      </c>
      <c r="M128" s="434" t="s">
        <v>3</v>
      </c>
      <c r="N128" s="121">
        <v>76200000</v>
      </c>
      <c r="O128" s="121">
        <f>IF(M128=$B$145,N128,IF(M128=$B$147,N128*$C$147/$C$145,IF(M128=$B$146,N128*$C$146/$C$145,IF(M128=$B$144,N128/$C$145))))</f>
        <v>189429.72207030279</v>
      </c>
      <c r="P128" s="111">
        <v>76200000</v>
      </c>
      <c r="Q128" s="427">
        <v>1E-4</v>
      </c>
      <c r="R128" s="111"/>
      <c r="S128" s="111">
        <v>7620</v>
      </c>
      <c r="T128" s="445">
        <f t="shared" si="14"/>
        <v>76200000</v>
      </c>
      <c r="U128" s="431">
        <f>IF(M128=$B$145,T128,IF(M128=$B$147,T128*$C$147/$C$145,IF(M128=$B$146,T128*$C$146/$C$145,IF(M128=$B$144,T128/$C$145))))</f>
        <v>189429.72207030279</v>
      </c>
      <c r="V128" s="424" t="s">
        <v>253</v>
      </c>
      <c r="W128" s="660"/>
      <c r="X128" s="26"/>
    </row>
    <row r="129" spans="1:24" s="15" customFormat="1" ht="121.5" outlineLevel="1" x14ac:dyDescent="0.25">
      <c r="A129" s="433">
        <v>86</v>
      </c>
      <c r="B129" s="423" t="s">
        <v>254</v>
      </c>
      <c r="C129" s="423" t="s">
        <v>209</v>
      </c>
      <c r="D129" s="411"/>
      <c r="E129" s="448"/>
      <c r="F129" s="448"/>
      <c r="G129" s="448"/>
      <c r="H129" s="448"/>
      <c r="I129" s="448"/>
      <c r="J129" s="448"/>
      <c r="K129" s="420" t="s">
        <v>378</v>
      </c>
      <c r="L129" s="420" t="s">
        <v>255</v>
      </c>
      <c r="M129" s="434" t="s">
        <v>3</v>
      </c>
      <c r="N129" s="121">
        <v>50613970</v>
      </c>
      <c r="O129" s="121">
        <f>IF(M129=$B$145,N129,IF(M129=$B$147,N129*$C$147/$C$145,IF(M129=$B$146,N129*$C$146/$C$145,IF(M129=$B$144,N129/$C$145))))</f>
        <v>125824.01929100582</v>
      </c>
      <c r="P129" s="111">
        <v>50613970</v>
      </c>
      <c r="Q129" s="427">
        <v>1E-4</v>
      </c>
      <c r="R129" s="111"/>
      <c r="S129" s="111">
        <f>8800+8800</f>
        <v>17600</v>
      </c>
      <c r="T129" s="445">
        <f t="shared" si="14"/>
        <v>50613970</v>
      </c>
      <c r="U129" s="431">
        <f>IF(M129=$B$145,T129,IF(M129=$B$147,T129*$C$147/$C$145,IF(M129=$B$146,T129*$C$146/$C$145,IF(M129=$B$144,T129/$C$145))))</f>
        <v>125824.01929100582</v>
      </c>
      <c r="V129" s="424" t="s">
        <v>256</v>
      </c>
      <c r="W129" s="660"/>
      <c r="X129" s="26"/>
    </row>
    <row r="130" spans="1:24" s="15" customFormat="1" ht="121.5" outlineLevel="1" x14ac:dyDescent="0.25">
      <c r="A130" s="433">
        <v>87</v>
      </c>
      <c r="B130" s="423" t="s">
        <v>257</v>
      </c>
      <c r="C130" s="423" t="s">
        <v>209</v>
      </c>
      <c r="D130" s="411"/>
      <c r="E130" s="448"/>
      <c r="F130" s="448"/>
      <c r="G130" s="448"/>
      <c r="H130" s="448"/>
      <c r="I130" s="448"/>
      <c r="J130" s="448"/>
      <c r="K130" s="420" t="s">
        <v>378</v>
      </c>
      <c r="L130" s="420" t="s">
        <v>258</v>
      </c>
      <c r="M130" s="434" t="s">
        <v>3</v>
      </c>
      <c r="N130" s="121">
        <v>184740000</v>
      </c>
      <c r="O130" s="121">
        <f>IF(M130=$B$145,N130,IF(M130=$B$147,N130*$C$147/$C$145,IF(M130=$B$146,N130*$C$146/$C$145,IF(M130=$B$144,N130/$C$145))))</f>
        <v>459255.20807437977</v>
      </c>
      <c r="P130" s="111">
        <v>184740000</v>
      </c>
      <c r="Q130" s="427">
        <v>1E-4</v>
      </c>
      <c r="R130" s="111"/>
      <c r="S130" s="111">
        <f>31700</f>
        <v>31700</v>
      </c>
      <c r="T130" s="445">
        <f t="shared" si="14"/>
        <v>184740000</v>
      </c>
      <c r="U130" s="431">
        <f>IF(M130=$B$145,T130,IF(M130=$B$147,T130*$C$147/$C$145,IF(M130=$B$146,T130*$C$146/$C$145,IF(M130=$B$144,T130/$C$145))))</f>
        <v>459255.20807437977</v>
      </c>
      <c r="V130" s="424" t="s">
        <v>259</v>
      </c>
      <c r="W130" s="660"/>
      <c r="X130" s="26"/>
    </row>
    <row r="131" spans="1:24" s="15" customFormat="1" ht="121.5" outlineLevel="1" x14ac:dyDescent="0.25">
      <c r="A131" s="433">
        <v>88</v>
      </c>
      <c r="B131" s="423" t="s">
        <v>260</v>
      </c>
      <c r="C131" s="423" t="s">
        <v>209</v>
      </c>
      <c r="D131" s="411"/>
      <c r="E131" s="448"/>
      <c r="F131" s="448"/>
      <c r="G131" s="448"/>
      <c r="H131" s="448"/>
      <c r="I131" s="448"/>
      <c r="J131" s="448"/>
      <c r="K131" s="420" t="s">
        <v>378</v>
      </c>
      <c r="L131" s="420" t="s">
        <v>261</v>
      </c>
      <c r="M131" s="434" t="s">
        <v>3</v>
      </c>
      <c r="N131" s="121">
        <v>219559596</v>
      </c>
      <c r="O131" s="121">
        <f>IF(M131=$B$145,N131,IF(M131=$B$147,N131*$C$147/$C$145,IF(M131=$B$146,N131*$C$146/$C$145,IF(M131=$B$144,N131/$C$145))))</f>
        <v>545815.13449013082</v>
      </c>
      <c r="P131" s="111">
        <v>219559596</v>
      </c>
      <c r="Q131" s="427">
        <v>1E-4</v>
      </c>
      <c r="R131" s="111">
        <f>16889200+16889200+185781196</f>
        <v>219559596</v>
      </c>
      <c r="S131" s="111">
        <f>5294+5294+27550+5533+1000</f>
        <v>44671</v>
      </c>
      <c r="T131" s="445">
        <f t="shared" si="14"/>
        <v>0</v>
      </c>
      <c r="U131" s="431">
        <f>IF(M131=$B$145,T131,IF(M131=$B$147,T131*$C$147/$C$145,IF(M131=$B$146,T131*$C$146/$C$145,IF(M131=$B$144,T131/$C$145))))</f>
        <v>0</v>
      </c>
      <c r="V131" s="424" t="s">
        <v>470</v>
      </c>
      <c r="W131" s="660"/>
      <c r="X131" s="26"/>
    </row>
    <row r="132" spans="1:24" s="15" customFormat="1" ht="121.5" outlineLevel="1" x14ac:dyDescent="0.25">
      <c r="A132" s="433">
        <v>89</v>
      </c>
      <c r="B132" s="423" t="s">
        <v>262</v>
      </c>
      <c r="C132" s="423" t="s">
        <v>209</v>
      </c>
      <c r="D132" s="411"/>
      <c r="E132" s="448"/>
      <c r="F132" s="448"/>
      <c r="G132" s="448"/>
      <c r="H132" s="448"/>
      <c r="I132" s="448"/>
      <c r="J132" s="448"/>
      <c r="K132" s="420" t="s">
        <v>378</v>
      </c>
      <c r="L132" s="420" t="s">
        <v>258</v>
      </c>
      <c r="M132" s="434" t="s">
        <v>3</v>
      </c>
      <c r="N132" s="121">
        <v>29081500</v>
      </c>
      <c r="O132" s="121">
        <f>IF(M132=$B$145,N132,IF(M132=$B$147,N132*$C$147/$C$145,IF(M132=$B$146,N132*$C$146/$C$145,IF(M132=$B$144,N132/$C$145))))</f>
        <v>72295.281658628752</v>
      </c>
      <c r="P132" s="111">
        <v>29081500</v>
      </c>
      <c r="Q132" s="427">
        <v>1E-4</v>
      </c>
      <c r="R132" s="111"/>
      <c r="S132" s="111">
        <f>1000+4000+3000</f>
        <v>8000</v>
      </c>
      <c r="T132" s="445">
        <f t="shared" si="14"/>
        <v>29081500</v>
      </c>
      <c r="U132" s="431">
        <f>IF(M132=$B$145,T132,IF(M132=$B$147,T132*$C$147/$C$145,IF(M132=$B$146,T132*$C$146/$C$145,IF(M132=$B$144,T132/$C$145))))</f>
        <v>72295.281658628752</v>
      </c>
      <c r="V132" s="424" t="s">
        <v>263</v>
      </c>
      <c r="W132" s="660"/>
      <c r="X132" s="26"/>
    </row>
    <row r="133" spans="1:24" s="15" customFormat="1" ht="123" customHeight="1" outlineLevel="1" thickBot="1" x14ac:dyDescent="0.3">
      <c r="A133" s="433">
        <v>90</v>
      </c>
      <c r="B133" s="139" t="s">
        <v>264</v>
      </c>
      <c r="C133" s="139" t="s">
        <v>209</v>
      </c>
      <c r="D133" s="411"/>
      <c r="E133" s="448"/>
      <c r="F133" s="448"/>
      <c r="G133" s="448"/>
      <c r="H133" s="448"/>
      <c r="I133" s="448"/>
      <c r="J133" s="448"/>
      <c r="K133" s="420" t="s">
        <v>378</v>
      </c>
      <c r="L133" s="420" t="s">
        <v>265</v>
      </c>
      <c r="M133" s="434" t="s">
        <v>3</v>
      </c>
      <c r="N133" s="121">
        <v>12060940</v>
      </c>
      <c r="O133" s="121">
        <f>IF(M133=$B$145,N133,IF(M133=$B$147,N133*$C$147/$C$145,IF(M133=$B$146,N133*$C$146/$C$145,IF(M133=$B$144,N133/$C$145))))</f>
        <v>29982.946353104959</v>
      </c>
      <c r="P133" s="136">
        <v>12060940</v>
      </c>
      <c r="Q133" s="427">
        <v>1E-4</v>
      </c>
      <c r="R133" s="111"/>
      <c r="S133" s="111">
        <v>2170</v>
      </c>
      <c r="T133" s="445">
        <f t="shared" si="14"/>
        <v>12060940</v>
      </c>
      <c r="U133" s="431">
        <f>IF(M133=$B$145,T133,IF(M133=$B$147,T133*$C$147/$C$145,IF(M133=$B$146,T133*$C$146/$C$145,IF(M133=$B$144,T133/$C$145))))</f>
        <v>29982.946353104959</v>
      </c>
      <c r="V133" s="424" t="s">
        <v>266</v>
      </c>
      <c r="W133" s="660"/>
      <c r="X133" s="26"/>
    </row>
    <row r="134" spans="1:24" s="20" customFormat="1" ht="30" customHeight="1" x14ac:dyDescent="0.25">
      <c r="A134" s="611" t="s">
        <v>469</v>
      </c>
      <c r="B134" s="612"/>
      <c r="C134" s="612"/>
      <c r="D134" s="645" t="s">
        <v>35</v>
      </c>
      <c r="E134" s="646"/>
      <c r="F134" s="646"/>
      <c r="G134" s="646"/>
      <c r="H134" s="646"/>
      <c r="I134" s="646"/>
      <c r="J134" s="646"/>
      <c r="K134" s="646"/>
      <c r="L134" s="647"/>
      <c r="M134" s="648"/>
      <c r="N134" s="21">
        <f>SUMIF($M$113:$M$133,D134,$N$113:$N$133)</f>
        <v>0</v>
      </c>
      <c r="O134" s="24"/>
      <c r="P134" s="24">
        <f>SUMIF($M$103:$M$133,D134,$P$103:$P$133)</f>
        <v>0</v>
      </c>
      <c r="Q134" s="24"/>
      <c r="R134" s="22">
        <f>SUMIF($M$113:$M$133,D134,$R$113:$R$133)</f>
        <v>0</v>
      </c>
      <c r="S134" s="24">
        <f>SUMIF($M$103:$M$133,D134,$S$103:$S$133)</f>
        <v>0</v>
      </c>
      <c r="T134" s="24">
        <f>SUMIF($M$103:$M$133,D134,$T$103:$T$133)</f>
        <v>0</v>
      </c>
      <c r="U134" s="24"/>
      <c r="V134" s="96"/>
      <c r="W134" s="651"/>
      <c r="X134" s="19"/>
    </row>
    <row r="135" spans="1:24" s="20" customFormat="1" ht="27" customHeight="1" x14ac:dyDescent="0.25">
      <c r="A135" s="592"/>
      <c r="B135" s="593"/>
      <c r="C135" s="593"/>
      <c r="D135" s="616" t="s">
        <v>3</v>
      </c>
      <c r="E135" s="617"/>
      <c r="F135" s="617"/>
      <c r="G135" s="617"/>
      <c r="H135" s="617"/>
      <c r="I135" s="617"/>
      <c r="J135" s="617"/>
      <c r="K135" s="617"/>
      <c r="L135" s="618"/>
      <c r="M135" s="97"/>
      <c r="N135" s="22">
        <f>SUMIF($M$113:$M$133,D135,$N$113:$N$133)</f>
        <v>2011462986</v>
      </c>
      <c r="O135" s="22"/>
      <c r="P135" s="22">
        <f>SUMIF($M$113:$M$133,D135,$P$113:$P$133)</f>
        <v>2011462986</v>
      </c>
      <c r="Q135" s="22"/>
      <c r="R135" s="22">
        <f>SUMIF($M$113:$M$133,D135,$R$113:$R$133)</f>
        <v>555425344.20000005</v>
      </c>
      <c r="S135" s="22">
        <f>SUMIF($M$113:$M$133,D135,$S$113:$S$133)</f>
        <v>473203.1</v>
      </c>
      <c r="T135" s="22">
        <f>SUMIF($M$113:$M$133,D135,$T$113:$T$133)</f>
        <v>1456868441</v>
      </c>
      <c r="U135" s="22"/>
      <c r="V135" s="98"/>
      <c r="W135" s="652"/>
      <c r="X135" s="19"/>
    </row>
    <row r="136" spans="1:24" s="20" customFormat="1" ht="28.5" customHeight="1" x14ac:dyDescent="0.25">
      <c r="A136" s="592"/>
      <c r="B136" s="593"/>
      <c r="C136" s="593"/>
      <c r="D136" s="616" t="s">
        <v>57</v>
      </c>
      <c r="E136" s="617"/>
      <c r="F136" s="617"/>
      <c r="G136" s="617"/>
      <c r="H136" s="617"/>
      <c r="I136" s="617"/>
      <c r="J136" s="617"/>
      <c r="K136" s="617"/>
      <c r="L136" s="618"/>
      <c r="M136" s="97"/>
      <c r="N136" s="22">
        <f>SUMIF($M$113:$M$133,D136,$N$113:$N$133)</f>
        <v>0</v>
      </c>
      <c r="O136" s="22">
        <f>SUM(O113:O133)</f>
        <v>5000405.1757569732</v>
      </c>
      <c r="P136" s="22">
        <f>SUMIF($M$103:$M$133,D136,$P$103:$P$133)</f>
        <v>0</v>
      </c>
      <c r="Q136" s="22"/>
      <c r="R136" s="22">
        <f>SUMIF($M$103:$M$133,D136,$R$103:$R$133)</f>
        <v>0</v>
      </c>
      <c r="S136" s="22">
        <f>SUMIF($M$103:$M$133,D136,$S$103:$S$133)</f>
        <v>0</v>
      </c>
      <c r="T136" s="22">
        <f>SUMIF($M$103:$M$133,D136,$T$103:$T$133)</f>
        <v>0</v>
      </c>
      <c r="U136" s="22">
        <f>SUM(U113:U133)</f>
        <v>3621708.4497588621</v>
      </c>
      <c r="V136" s="98"/>
      <c r="W136" s="652"/>
      <c r="X136" s="19"/>
    </row>
    <row r="137" spans="1:24" s="20" customFormat="1" ht="30" customHeight="1" thickBot="1" x14ac:dyDescent="0.3">
      <c r="A137" s="621"/>
      <c r="B137" s="622"/>
      <c r="C137" s="622"/>
      <c r="D137" s="597" t="s">
        <v>77</v>
      </c>
      <c r="E137" s="598"/>
      <c r="F137" s="598"/>
      <c r="G137" s="598"/>
      <c r="H137" s="598"/>
      <c r="I137" s="598"/>
      <c r="J137" s="598"/>
      <c r="K137" s="598"/>
      <c r="L137" s="599"/>
      <c r="M137" s="102"/>
      <c r="N137" s="23">
        <f>SUMIF($M$113:$M$133,D137,$N$113:$N$133)</f>
        <v>0</v>
      </c>
      <c r="O137" s="23"/>
      <c r="P137" s="23">
        <f>SUMIF($M$103:$M$133,D137,$P$103:$P$133)</f>
        <v>0</v>
      </c>
      <c r="Q137" s="23"/>
      <c r="R137" s="23">
        <f>SUMIF($M$103:$M$133,D137,$R$103:$R$133)</f>
        <v>0</v>
      </c>
      <c r="S137" s="23">
        <f>SUMIF($M$103:$M$133,D137,$S$103:$S$133)</f>
        <v>0</v>
      </c>
      <c r="T137" s="23">
        <f>SUMIF($M$103:$M$133,D137,$T$103:$T$133)</f>
        <v>0</v>
      </c>
      <c r="U137" s="23"/>
      <c r="V137" s="103"/>
      <c r="W137" s="653"/>
      <c r="X137" s="19"/>
    </row>
    <row r="138" spans="1:24" s="20" customFormat="1" ht="15.75" customHeight="1" x14ac:dyDescent="0.25">
      <c r="A138" s="590" t="s">
        <v>267</v>
      </c>
      <c r="B138" s="591"/>
      <c r="C138" s="623"/>
      <c r="D138" s="615" t="s">
        <v>35</v>
      </c>
      <c r="E138" s="626"/>
      <c r="F138" s="626"/>
      <c r="G138" s="626"/>
      <c r="H138" s="626"/>
      <c r="I138" s="626"/>
      <c r="J138" s="626"/>
      <c r="K138" s="626"/>
      <c r="L138" s="626"/>
      <c r="M138" s="146"/>
      <c r="N138" s="25">
        <f>N47+N58+N69+N99+N109+N134</f>
        <v>340755742.28000003</v>
      </c>
      <c r="O138" s="25">
        <f>O47+O58+O69+O99+O109+O134</f>
        <v>0</v>
      </c>
      <c r="P138" s="25">
        <f>P47+P58+P69+P99+P109+P134</f>
        <v>141688040.81</v>
      </c>
      <c r="Q138" s="25">
        <f>Q47+Q58+Q69+Q99+Q109+Q134</f>
        <v>0</v>
      </c>
      <c r="R138" s="25">
        <f>R47+R58+R69+R99+R109+R134</f>
        <v>47680414.139586225</v>
      </c>
      <c r="S138" s="25">
        <f>S47+S58+S69+S99+S109+S134</f>
        <v>18316997.346167468</v>
      </c>
      <c r="T138" s="25">
        <f>T47+T58+T69+T99+T109+T134</f>
        <v>94007626.670413762</v>
      </c>
      <c r="U138" s="25">
        <f>U47+U58+U69+U99+U109+U134</f>
        <v>0</v>
      </c>
      <c r="V138" s="145"/>
      <c r="W138" s="651"/>
      <c r="X138" s="19"/>
    </row>
    <row r="139" spans="1:24" s="20" customFormat="1" ht="17.25" customHeight="1" x14ac:dyDescent="0.25">
      <c r="A139" s="592"/>
      <c r="B139" s="593"/>
      <c r="C139" s="624"/>
      <c r="D139" s="618" t="s">
        <v>3</v>
      </c>
      <c r="E139" s="595"/>
      <c r="F139" s="595"/>
      <c r="G139" s="595"/>
      <c r="H139" s="595"/>
      <c r="I139" s="595"/>
      <c r="J139" s="595"/>
      <c r="K139" s="595"/>
      <c r="L139" s="595"/>
      <c r="M139" s="146"/>
      <c r="N139" s="25">
        <f>N48+N59+N70+N100+N110+N135</f>
        <v>176482887740.10001</v>
      </c>
      <c r="O139" s="25">
        <f>O48+O59+O70+O100+O110+O135</f>
        <v>0</v>
      </c>
      <c r="P139" s="25">
        <f>P48+P59+P70+P100+P110+P135</f>
        <v>194571847798.01001</v>
      </c>
      <c r="Q139" s="25">
        <f>Q48+Q59+Q70+Q100+Q110+Q135</f>
        <v>0</v>
      </c>
      <c r="R139" s="25">
        <f>R48+R59+R70+R100+R110+R135</f>
        <v>94832839756.344711</v>
      </c>
      <c r="S139" s="25">
        <f>S48+S59+S70+S100+S110+S135</f>
        <v>45590801047.989487</v>
      </c>
      <c r="T139" s="25">
        <f>T48+T59+T70+T100+T110+T135</f>
        <v>99739838840.865295</v>
      </c>
      <c r="U139" s="25">
        <f>U48+U59+U70+U100+U110+U135</f>
        <v>0</v>
      </c>
      <c r="V139" s="98"/>
      <c r="W139" s="652"/>
      <c r="X139" s="19"/>
    </row>
    <row r="140" spans="1:24" s="20" customFormat="1" ht="15" customHeight="1" x14ac:dyDescent="0.25">
      <c r="A140" s="592"/>
      <c r="B140" s="593"/>
      <c r="C140" s="624"/>
      <c r="D140" s="618" t="s">
        <v>57</v>
      </c>
      <c r="E140" s="595"/>
      <c r="F140" s="595"/>
      <c r="G140" s="595"/>
      <c r="H140" s="595"/>
      <c r="I140" s="595"/>
      <c r="J140" s="595"/>
      <c r="K140" s="595"/>
      <c r="L140" s="595"/>
      <c r="M140" s="97"/>
      <c r="N140" s="25">
        <f>N49+N60+N71+N101+N111+N136</f>
        <v>481140620.32000005</v>
      </c>
      <c r="O140" s="25">
        <f>O49+O60+O71+O101+O111+O136</f>
        <v>1486987174.2396407</v>
      </c>
      <c r="P140" s="25">
        <f>P49+P60+P71+P101+P111+P136</f>
        <v>356993027.06999999</v>
      </c>
      <c r="Q140" s="25">
        <f>Q49+Q60+Q71+Q101+Q111+Q136</f>
        <v>0</v>
      </c>
      <c r="R140" s="25">
        <f>R49+R60+R71+R101+R111+R136</f>
        <v>104951653.9917008</v>
      </c>
      <c r="S140" s="25">
        <f>S49+S60+S71+S101+S111+S136</f>
        <v>57000636.127435394</v>
      </c>
      <c r="T140" s="25">
        <f>T49+T60+T71+T101+T111+T136</f>
        <v>252596372.11207318</v>
      </c>
      <c r="U140" s="25">
        <f>U49+U60+U71+U101+U111+U136</f>
        <v>752241941.9781512</v>
      </c>
      <c r="V140" s="98"/>
      <c r="W140" s="652"/>
      <c r="X140" s="19"/>
    </row>
    <row r="141" spans="1:24" s="20" customFormat="1" ht="25.5" customHeight="1" thickBot="1" x14ac:dyDescent="0.3">
      <c r="A141" s="621"/>
      <c r="B141" s="622"/>
      <c r="C141" s="625"/>
      <c r="D141" s="627" t="s">
        <v>77</v>
      </c>
      <c r="E141" s="596"/>
      <c r="F141" s="596"/>
      <c r="G141" s="596"/>
      <c r="H141" s="596"/>
      <c r="I141" s="596"/>
      <c r="J141" s="596"/>
      <c r="K141" s="596"/>
      <c r="L141" s="596"/>
      <c r="M141" s="99"/>
      <c r="N141" s="25">
        <f>N50+N61+N72+N102+N112+N137</f>
        <v>31777311969</v>
      </c>
      <c r="O141" s="25">
        <f>O50+O61+O72+O102+O112+O137</f>
        <v>0</v>
      </c>
      <c r="P141" s="25">
        <f>P50+P61+P72+P102+P112+P137</f>
        <v>31859249643</v>
      </c>
      <c r="Q141" s="25">
        <f>Q50+Q61+Q72+Q102+Q112+Q137</f>
        <v>0</v>
      </c>
      <c r="R141" s="25">
        <f>R50+R61+R72+R102+R112+R137</f>
        <v>11608502507.734192</v>
      </c>
      <c r="S141" s="25">
        <f>S50+S61+S72+S102+S112+S137</f>
        <v>3488879860.0944376</v>
      </c>
      <c r="T141" s="25">
        <f>T50+T61+T72+T102+T112+T137</f>
        <v>20250747135.265808</v>
      </c>
      <c r="U141" s="25">
        <f>U50+U61+U72+U102+U112+U137</f>
        <v>0</v>
      </c>
      <c r="V141" s="101"/>
      <c r="W141" s="653"/>
      <c r="X141" s="19"/>
    </row>
    <row r="142" spans="1:24" s="20" customFormat="1" ht="15" customHeight="1" thickBot="1" x14ac:dyDescent="0.3">
      <c r="A142" s="621"/>
      <c r="B142" s="622"/>
      <c r="C142" s="625"/>
      <c r="D142" s="620" t="s">
        <v>67</v>
      </c>
      <c r="E142" s="617"/>
      <c r="F142" s="617"/>
      <c r="G142" s="617"/>
      <c r="H142" s="617"/>
      <c r="I142" s="617"/>
      <c r="J142" s="617"/>
      <c r="K142" s="617"/>
      <c r="L142" s="618"/>
      <c r="M142" s="99"/>
      <c r="N142" s="25">
        <f>N51</f>
        <v>24086688</v>
      </c>
      <c r="O142" s="25">
        <f>O51</f>
        <v>0</v>
      </c>
      <c r="P142" s="25">
        <f>P51</f>
        <v>18384172.012149811</v>
      </c>
      <c r="Q142" s="25">
        <f>Q51</f>
        <v>0</v>
      </c>
      <c r="R142" s="25">
        <f>R51</f>
        <v>3421726.801663748</v>
      </c>
      <c r="S142" s="25">
        <f>S51</f>
        <v>2452783.2591014383</v>
      </c>
      <c r="T142" s="25">
        <f>T51</f>
        <v>14962445.210486062</v>
      </c>
      <c r="U142" s="25">
        <f>U51</f>
        <v>0</v>
      </c>
      <c r="V142" s="101"/>
      <c r="W142" s="654"/>
      <c r="X142" s="19"/>
    </row>
    <row r="143" spans="1:24" ht="51" customHeight="1" thickBot="1" x14ac:dyDescent="0.3">
      <c r="A143" s="147">
        <v>95</v>
      </c>
      <c r="B143" s="148" t="s">
        <v>268</v>
      </c>
      <c r="C143" s="149" t="s">
        <v>269</v>
      </c>
      <c r="D143" s="149" t="s">
        <v>119</v>
      </c>
      <c r="E143" s="149"/>
      <c r="F143" s="149"/>
      <c r="G143" s="149"/>
      <c r="H143" s="149"/>
      <c r="I143" s="149"/>
      <c r="J143" s="149"/>
      <c r="K143" s="149" t="s">
        <v>379</v>
      </c>
      <c r="L143" s="149" t="s">
        <v>270</v>
      </c>
      <c r="M143" s="149" t="s">
        <v>3</v>
      </c>
      <c r="N143" s="150">
        <f>834800635300+144000000000+32000000000+132000000000+3500000000+14000000000+2900000000+4000000000</f>
        <v>1167200635300</v>
      </c>
      <c r="O143" s="151">
        <f>IF(M143=$B$145,N143,IF(M143=$B$147,N143*$C$147/$C$145,IF(M143=$B$146,N143*$C$146/$C$145,IF(M143=$B$144,N143/$C$145))))</f>
        <v>2901607505.8419929</v>
      </c>
      <c r="P143" s="151">
        <f>834798635300+12095027500+14732486250+11774486250+13492000000+25492000000+15482000000+12375860000+12000000000+13000000000+12000000000+15700000000+17856140000+15664000000+17000000000+14500000000+15500000000+26000000000+14900000000+11999274664+16000725336+11696539543.9-117562.5+1914256066</f>
        <v>1155973313347.3999</v>
      </c>
      <c r="Q143" s="649">
        <v>1E-4</v>
      </c>
      <c r="R143" s="151"/>
      <c r="S143" s="151"/>
      <c r="T143" s="153">
        <f>P143-R143</f>
        <v>1155973313347.3999</v>
      </c>
      <c r="U143" s="150">
        <f>IF(M143=$B$145,T143,IF(M143=$B$147,T143*$C$147/$C$145,IF(M143=$B$146,T143*$C$146/$C$145,IF(M143=$B$144,T143/$C$145))))</f>
        <v>2873696895.9066272</v>
      </c>
      <c r="V143" s="154" t="s">
        <v>82</v>
      </c>
      <c r="W143" s="661"/>
    </row>
    <row r="144" spans="1:24" ht="17.25" x14ac:dyDescent="0.3">
      <c r="B144" s="158" t="s">
        <v>3</v>
      </c>
      <c r="C144" s="159"/>
      <c r="M144" s="161"/>
      <c r="N144" s="29"/>
      <c r="P144" s="29"/>
      <c r="T144" s="163"/>
      <c r="V144" s="31"/>
    </row>
    <row r="145" spans="2:24" ht="17.25" x14ac:dyDescent="0.3">
      <c r="B145" s="158" t="s">
        <v>57</v>
      </c>
      <c r="C145" s="159">
        <v>402.26</v>
      </c>
      <c r="N145" s="29"/>
      <c r="O145" s="29"/>
      <c r="P145" s="30"/>
      <c r="Q145" s="164"/>
      <c r="S145" s="29"/>
      <c r="T145" s="165"/>
      <c r="U145" s="29"/>
      <c r="V145" s="166"/>
    </row>
    <row r="146" spans="2:24" ht="17.25" x14ac:dyDescent="0.3">
      <c r="B146" s="158" t="s">
        <v>77</v>
      </c>
      <c r="C146" s="167">
        <v>2.6869999999999998</v>
      </c>
      <c r="O146" s="29"/>
      <c r="P146" s="29"/>
      <c r="S146" s="29"/>
      <c r="T146" s="32"/>
      <c r="U146" s="29"/>
      <c r="V146" s="168"/>
    </row>
    <row r="147" spans="2:24" ht="17.25" x14ac:dyDescent="0.3">
      <c r="B147" s="158" t="s">
        <v>35</v>
      </c>
      <c r="C147" s="159">
        <v>425.47</v>
      </c>
      <c r="O147" s="30"/>
      <c r="P147" s="30"/>
      <c r="S147" s="29"/>
      <c r="T147" s="30"/>
      <c r="U147" s="29"/>
      <c r="V147" s="168"/>
    </row>
    <row r="148" spans="2:24" ht="17.25" x14ac:dyDescent="0.3">
      <c r="B148" s="158" t="s">
        <v>67</v>
      </c>
      <c r="C148" s="159">
        <v>527.08000000000004</v>
      </c>
      <c r="S148" s="31"/>
      <c r="T148" s="29"/>
      <c r="U148" s="17"/>
      <c r="V148" s="16"/>
    </row>
    <row r="149" spans="2:24" x14ac:dyDescent="0.25">
      <c r="V149" s="16"/>
    </row>
    <row r="150" spans="2:24" x14ac:dyDescent="0.25">
      <c r="T150" s="32"/>
    </row>
    <row r="151" spans="2:24" x14ac:dyDescent="0.25">
      <c r="P151" s="32"/>
      <c r="S151" s="29"/>
      <c r="T151" s="32"/>
    </row>
    <row r="157" spans="2:24" x14ac:dyDescent="0.25">
      <c r="T157" s="29"/>
    </row>
    <row r="158" spans="2:24" s="30" customFormat="1" x14ac:dyDescent="0.25">
      <c r="B158" s="33"/>
      <c r="C158" s="17"/>
      <c r="D158" s="17"/>
      <c r="E158" s="17"/>
      <c r="F158" s="17"/>
      <c r="G158" s="17"/>
      <c r="H158" s="17"/>
      <c r="I158" s="17"/>
      <c r="J158" s="17"/>
      <c r="K158" s="160"/>
      <c r="L158" s="17"/>
      <c r="M158" s="17"/>
      <c r="N158" s="17"/>
      <c r="O158" s="17"/>
      <c r="P158" s="17"/>
      <c r="Q158" s="162"/>
      <c r="R158" s="17"/>
      <c r="S158" s="17"/>
      <c r="T158" s="29"/>
      <c r="V158" s="17"/>
      <c r="W158" s="16"/>
      <c r="X158" s="16"/>
    </row>
  </sheetData>
  <sheetProtection formatCells="0" formatColumns="0" formatRows="0"/>
  <protectedRanges>
    <protectedRange algorithmName="SHA-512" hashValue="2hnhy85Hze6pXZTujHMyiGA7lE9yapdzAMEgpTAQUbEvX5wkbgVJAYj8efzABUddHb+HHBXm+QO7FFQ7DdcL0Q==" saltValue="/3Se5MhqYIbXZuII16lL6A==" spinCount="100000" sqref="A103:W108 A73:W73" name="Nona"/>
    <protectedRange algorithmName="SHA-512" hashValue="/qDn2zoAPl6XveVGTDHZcWIjR6P6fmKMYiOIx92BVGuoQ3TYOXlsDsoiDSLs1D9Ugjb3A3EixLJ11cGk8PSHvw==" saltValue="LV/JN9wntl8CkZ3QpoEkqA==" spinCount="100000" sqref="A62:S63 V62:W63 A97:S98 V97:W98" name="Nara"/>
    <protectedRange algorithmName="SHA-512" hashValue="R0m7mG/o0t2+7dbQTzM5iQkFX2amgAS+iAGJudQnnweh07e6LDAbSuhvcwbzcp7drP+HIG4d/wHfMCXiBXmkow==" saltValue="hXh6Ce3lteSj/cvmR3BSBw==" spinCount="100000" sqref="A113:S133 V113:W133 V143:W143 A143:S143 A96:S96 V96:W96" name="Narine"/>
    <protectedRange password="C670" sqref="A80:W92 A65:W68 A74:W77" name="Maria"/>
  </protectedRanges>
  <mergeCells count="199">
    <mergeCell ref="D142:L142"/>
    <mergeCell ref="A134:C137"/>
    <mergeCell ref="D134:L134"/>
    <mergeCell ref="D135:L135"/>
    <mergeCell ref="D136:L136"/>
    <mergeCell ref="D137:L137"/>
    <mergeCell ref="A138:C142"/>
    <mergeCell ref="D138:L138"/>
    <mergeCell ref="D139:L139"/>
    <mergeCell ref="D140:L140"/>
    <mergeCell ref="D141:L141"/>
    <mergeCell ref="A109:C112"/>
    <mergeCell ref="D109:L109"/>
    <mergeCell ref="D110:L110"/>
    <mergeCell ref="D111:L111"/>
    <mergeCell ref="D112:L112"/>
    <mergeCell ref="A99:C102"/>
    <mergeCell ref="D99:L99"/>
    <mergeCell ref="D100:L100"/>
    <mergeCell ref="D101:L101"/>
    <mergeCell ref="D102:L102"/>
    <mergeCell ref="B106:B108"/>
    <mergeCell ref="C106:C108"/>
    <mergeCell ref="V87:V88"/>
    <mergeCell ref="A93:A94"/>
    <mergeCell ref="B93:B94"/>
    <mergeCell ref="C93:C94"/>
    <mergeCell ref="D93:D94"/>
    <mergeCell ref="K93:K94"/>
    <mergeCell ref="L93:L94"/>
    <mergeCell ref="V93:V94"/>
    <mergeCell ref="A76:A77"/>
    <mergeCell ref="B76:B77"/>
    <mergeCell ref="C76:C77"/>
    <mergeCell ref="L76:L77"/>
    <mergeCell ref="V81:V83"/>
    <mergeCell ref="A87:A88"/>
    <mergeCell ref="B87:B88"/>
    <mergeCell ref="C87:C88"/>
    <mergeCell ref="D87:D88"/>
    <mergeCell ref="K87:K88"/>
    <mergeCell ref="A58:C61"/>
    <mergeCell ref="D58:L58"/>
    <mergeCell ref="D59:L59"/>
    <mergeCell ref="D60:L60"/>
    <mergeCell ref="D61:L61"/>
    <mergeCell ref="A69:C72"/>
    <mergeCell ref="D69:L69"/>
    <mergeCell ref="D70:L70"/>
    <mergeCell ref="D71:L71"/>
    <mergeCell ref="D72:L72"/>
    <mergeCell ref="B53:B54"/>
    <mergeCell ref="V53:V54"/>
    <mergeCell ref="A56:A57"/>
    <mergeCell ref="B56:B57"/>
    <mergeCell ref="C56:C57"/>
    <mergeCell ref="V56:V57"/>
    <mergeCell ref="Q45:Q46"/>
    <mergeCell ref="A47:C51"/>
    <mergeCell ref="D47:L47"/>
    <mergeCell ref="D48:L48"/>
    <mergeCell ref="D49:L49"/>
    <mergeCell ref="D50:L50"/>
    <mergeCell ref="D51:L51"/>
    <mergeCell ref="V34:V36"/>
    <mergeCell ref="A43:A44"/>
    <mergeCell ref="B43:B44"/>
    <mergeCell ref="C43:C44"/>
    <mergeCell ref="K43:K44"/>
    <mergeCell ref="L43:L44"/>
    <mergeCell ref="Q43:Q44"/>
    <mergeCell ref="V43:V44"/>
    <mergeCell ref="A34:A36"/>
    <mergeCell ref="B34:B36"/>
    <mergeCell ref="C34:C36"/>
    <mergeCell ref="D34:D36"/>
    <mergeCell ref="E34:E36"/>
    <mergeCell ref="K34:K36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J27:J28"/>
    <mergeCell ref="C29:C30"/>
    <mergeCell ref="D29:D30"/>
    <mergeCell ref="E29:E30"/>
    <mergeCell ref="F29:F30"/>
    <mergeCell ref="G29:G30"/>
    <mergeCell ref="H29:H30"/>
    <mergeCell ref="I29:I30"/>
    <mergeCell ref="J29:J30"/>
    <mergeCell ref="C27:C28"/>
    <mergeCell ref="D27:D28"/>
    <mergeCell ref="F27:F28"/>
    <mergeCell ref="G27:G28"/>
    <mergeCell ref="H27:H28"/>
    <mergeCell ref="I27:I28"/>
    <mergeCell ref="Q23:Q24"/>
    <mergeCell ref="V23:V24"/>
    <mergeCell ref="W23:W24"/>
    <mergeCell ref="A25:A26"/>
    <mergeCell ref="B25:B26"/>
    <mergeCell ref="K25:K26"/>
    <mergeCell ref="L25:L26"/>
    <mergeCell ref="Q25:Q26"/>
    <mergeCell ref="V25:V26"/>
    <mergeCell ref="W25:W26"/>
    <mergeCell ref="G23:G26"/>
    <mergeCell ref="H23:H26"/>
    <mergeCell ref="I23:I26"/>
    <mergeCell ref="J23:J26"/>
    <mergeCell ref="K23:K24"/>
    <mergeCell ref="L23:L24"/>
    <mergeCell ref="A23:A24"/>
    <mergeCell ref="B23:B24"/>
    <mergeCell ref="C23:C26"/>
    <mergeCell ref="D23:D26"/>
    <mergeCell ref="E23:E26"/>
    <mergeCell ref="F23:F26"/>
    <mergeCell ref="W19:W20"/>
    <mergeCell ref="A21:A22"/>
    <mergeCell ref="B21:B22"/>
    <mergeCell ref="K21:K22"/>
    <mergeCell ref="L21:L22"/>
    <mergeCell ref="V21:V22"/>
    <mergeCell ref="W21:W22"/>
    <mergeCell ref="I19:I21"/>
    <mergeCell ref="J19:J21"/>
    <mergeCell ref="K19:K20"/>
    <mergeCell ref="L19:L20"/>
    <mergeCell ref="Q19:Q22"/>
    <mergeCell ref="V19:V20"/>
    <mergeCell ref="V17:V18"/>
    <mergeCell ref="W17:W18"/>
    <mergeCell ref="A19:A20"/>
    <mergeCell ref="B19:B20"/>
    <mergeCell ref="C19:C22"/>
    <mergeCell ref="D19:D22"/>
    <mergeCell ref="E19:E21"/>
    <mergeCell ref="F19:F21"/>
    <mergeCell ref="G19:G21"/>
    <mergeCell ref="H19:H21"/>
    <mergeCell ref="A17:A18"/>
    <mergeCell ref="B17:B18"/>
    <mergeCell ref="C17:C18"/>
    <mergeCell ref="D17:D18"/>
    <mergeCell ref="K17:K18"/>
    <mergeCell ref="L17:L18"/>
    <mergeCell ref="J15:J16"/>
    <mergeCell ref="K15:K16"/>
    <mergeCell ref="L15:L16"/>
    <mergeCell ref="Q15:Q16"/>
    <mergeCell ref="V15:V16"/>
    <mergeCell ref="W15:W16"/>
    <mergeCell ref="V13:V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3:A14"/>
    <mergeCell ref="B13:B14"/>
    <mergeCell ref="C13:C14"/>
    <mergeCell ref="K13:K14"/>
    <mergeCell ref="L13:L14"/>
    <mergeCell ref="Q13:Q14"/>
    <mergeCell ref="V9:V10"/>
    <mergeCell ref="A11:A12"/>
    <mergeCell ref="B11:B12"/>
    <mergeCell ref="C11:C12"/>
    <mergeCell ref="K11:K12"/>
    <mergeCell ref="L11:L12"/>
    <mergeCell ref="Q11:Q12"/>
    <mergeCell ref="V11:V12"/>
    <mergeCell ref="A9:A10"/>
    <mergeCell ref="B9:B10"/>
    <mergeCell ref="C9:C10"/>
    <mergeCell ref="K9:K10"/>
    <mergeCell ref="L9:L10"/>
    <mergeCell ref="Q9:Q10"/>
    <mergeCell ref="A1:V1"/>
    <mergeCell ref="A2:V2"/>
    <mergeCell ref="A5:A6"/>
    <mergeCell ref="B5:B6"/>
    <mergeCell ref="D5:D6"/>
    <mergeCell ref="E5:E6"/>
    <mergeCell ref="K5:K6"/>
  </mergeCells>
  <conditionalFormatting sqref="P5">
    <cfRule type="cellIs" dxfId="19" priority="5" operator="notEqual">
      <formula>#REF!</formula>
    </cfRule>
  </conditionalFormatting>
  <conditionalFormatting sqref="P95 P6:P33 P35:P41 P43:P45">
    <cfRule type="cellIs" dxfId="18" priority="4" operator="notEqual">
      <formula>#REF!</formula>
    </cfRule>
  </conditionalFormatting>
  <conditionalFormatting sqref="N21">
    <cfRule type="cellIs" dxfId="17" priority="3" operator="notEqual">
      <formula>#REF!</formula>
    </cfRule>
  </conditionalFormatting>
  <conditionalFormatting sqref="P46">
    <cfRule type="cellIs" dxfId="16" priority="2" operator="notEqual">
      <formula>#REF!</formula>
    </cfRule>
  </conditionalFormatting>
  <conditionalFormatting sqref="P79">
    <cfRule type="cellIs" dxfId="15" priority="1" operator="not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5"/>
  <sheetViews>
    <sheetView zoomScale="80" zoomScaleNormal="80" workbookViewId="0">
      <pane xSplit="2" ySplit="4" topLeftCell="C131" activePane="bottomRight" state="frozen"/>
      <selection activeCell="I143" sqref="I143"/>
      <selection pane="topRight" activeCell="I143" sqref="I143"/>
      <selection pane="bottomLeft" activeCell="I143" sqref="I143"/>
      <selection pane="bottomRight" activeCell="I143" sqref="I143"/>
    </sheetView>
  </sheetViews>
  <sheetFormatPr defaultRowHeight="13.5" outlineLevelRow="1" x14ac:dyDescent="0.25"/>
  <cols>
    <col min="1" max="1" width="6.85546875" style="170" customWidth="1"/>
    <col min="2" max="2" width="23.7109375" style="186" customWidth="1"/>
    <col min="3" max="3" width="23.42578125" style="170" customWidth="1"/>
    <col min="4" max="4" width="16.140625" style="170" customWidth="1"/>
    <col min="5" max="5" width="18.85546875" style="209" customWidth="1"/>
    <col min="6" max="6" width="20.140625" style="170" customWidth="1"/>
    <col min="7" max="7" width="16.42578125" style="170" bestFit="1" customWidth="1"/>
    <col min="8" max="8" width="19.7109375" style="170" customWidth="1"/>
    <col min="9" max="9" width="20.28515625" style="170" customWidth="1"/>
    <col min="10" max="10" width="21.7109375" style="212" customWidth="1"/>
    <col min="11" max="11" width="18.5703125" style="170" customWidth="1"/>
    <col min="12" max="12" width="18.85546875" style="170" bestFit="1" customWidth="1"/>
    <col min="13" max="13" width="26.7109375" style="170" bestFit="1" customWidth="1"/>
    <col min="14" max="14" width="26.42578125" style="170" customWidth="1"/>
    <col min="15" max="15" width="23.5703125" style="169" customWidth="1"/>
    <col min="16" max="16" width="21.85546875" style="170" customWidth="1"/>
    <col min="17" max="16384" width="9.140625" style="170"/>
  </cols>
  <sheetData>
    <row r="1" spans="1:16" ht="22.5" x14ac:dyDescent="0.4">
      <c r="A1" s="455" t="s">
        <v>18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6" ht="49.5" customHeight="1" x14ac:dyDescent="0.4">
      <c r="A2" s="456" t="s">
        <v>474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</row>
    <row r="3" spans="1:16" ht="14.25" thickBot="1" x14ac:dyDescent="0.3">
      <c r="A3" s="187"/>
      <c r="C3" s="187"/>
      <c r="D3" s="187"/>
      <c r="E3" s="188"/>
      <c r="F3" s="187"/>
      <c r="G3" s="187"/>
      <c r="H3" s="187"/>
      <c r="I3" s="187"/>
      <c r="J3" s="189"/>
      <c r="K3" s="187"/>
      <c r="L3" s="187"/>
      <c r="M3" s="187"/>
      <c r="N3" s="187"/>
    </row>
    <row r="4" spans="1:16" s="284" customFormat="1" ht="114" customHeight="1" thickBot="1" x14ac:dyDescent="0.3">
      <c r="A4" s="221" t="s">
        <v>19</v>
      </c>
      <c r="B4" s="191" t="s">
        <v>20</v>
      </c>
      <c r="C4" s="191" t="s">
        <v>21</v>
      </c>
      <c r="D4" s="191" t="s">
        <v>22</v>
      </c>
      <c r="E4" s="191" t="s">
        <v>314</v>
      </c>
      <c r="F4" s="191" t="s">
        <v>306</v>
      </c>
      <c r="G4" s="191" t="s">
        <v>23</v>
      </c>
      <c r="H4" s="191" t="s">
        <v>24</v>
      </c>
      <c r="I4" s="191" t="s">
        <v>25</v>
      </c>
      <c r="J4" s="222" t="s">
        <v>26</v>
      </c>
      <c r="K4" s="191" t="s">
        <v>27</v>
      </c>
      <c r="L4" s="191" t="s">
        <v>28</v>
      </c>
      <c r="M4" s="191" t="s">
        <v>29</v>
      </c>
      <c r="N4" s="223" t="s">
        <v>30</v>
      </c>
      <c r="O4" s="283"/>
    </row>
    <row r="5" spans="1:16" ht="60" customHeight="1" outlineLevel="1" x14ac:dyDescent="0.25">
      <c r="A5" s="457">
        <v>1</v>
      </c>
      <c r="B5" s="459" t="s">
        <v>31</v>
      </c>
      <c r="C5" s="225" t="s">
        <v>32</v>
      </c>
      <c r="D5" s="461" t="s">
        <v>33</v>
      </c>
      <c r="E5" s="463" t="s">
        <v>315</v>
      </c>
      <c r="F5" s="379" t="s">
        <v>34</v>
      </c>
      <c r="G5" s="231" t="s">
        <v>35</v>
      </c>
      <c r="H5" s="391">
        <v>7300000</v>
      </c>
      <c r="I5" s="233">
        <f>5822389.5+13412.1+4470.7+716451.75+24588.85+716451.75+2235.35</f>
        <v>7299999.9999999991</v>
      </c>
      <c r="J5" s="227" t="s">
        <v>36</v>
      </c>
      <c r="K5" s="233">
        <f>595000+119000+119000+119000+119000</f>
        <v>1071000</v>
      </c>
      <c r="L5" s="233">
        <v>628729.69999999995</v>
      </c>
      <c r="M5" s="391">
        <f t="shared" ref="M5:M33" si="0">I5-K5</f>
        <v>6228999.9999999991</v>
      </c>
      <c r="N5" s="374" t="s">
        <v>37</v>
      </c>
      <c r="P5" s="169"/>
    </row>
    <row r="6" spans="1:16" ht="75.75" customHeight="1" outlineLevel="1" x14ac:dyDescent="0.25">
      <c r="A6" s="458"/>
      <c r="B6" s="460"/>
      <c r="C6" s="234" t="s">
        <v>38</v>
      </c>
      <c r="D6" s="462"/>
      <c r="E6" s="464"/>
      <c r="F6" s="399" t="s">
        <v>39</v>
      </c>
      <c r="G6" s="395" t="s">
        <v>35</v>
      </c>
      <c r="H6" s="233">
        <v>7300000</v>
      </c>
      <c r="I6" s="233">
        <v>7299999.9999999981</v>
      </c>
      <c r="J6" s="401" t="s">
        <v>40</v>
      </c>
      <c r="K6" s="233">
        <f>5474999.9+304166.7+304166.7+304166.7+304166.7</f>
        <v>6691666.7000000011</v>
      </c>
      <c r="L6" s="233">
        <v>1226756</v>
      </c>
      <c r="M6" s="233">
        <f t="shared" si="0"/>
        <v>608333.29999999702</v>
      </c>
      <c r="N6" s="324" t="s">
        <v>41</v>
      </c>
      <c r="P6" s="169"/>
    </row>
    <row r="7" spans="1:16" ht="64.5" customHeight="1" outlineLevel="1" x14ac:dyDescent="0.25">
      <c r="A7" s="393">
        <v>2</v>
      </c>
      <c r="B7" s="394" t="s">
        <v>31</v>
      </c>
      <c r="C7" s="394" t="s">
        <v>42</v>
      </c>
      <c r="D7" s="399" t="s">
        <v>33</v>
      </c>
      <c r="E7" s="398" t="s">
        <v>316</v>
      </c>
      <c r="F7" s="399" t="s">
        <v>43</v>
      </c>
      <c r="G7" s="395" t="s">
        <v>35</v>
      </c>
      <c r="H7" s="233">
        <v>14060526.73</v>
      </c>
      <c r="I7" s="233">
        <v>14060526.73</v>
      </c>
      <c r="J7" s="243">
        <v>7.4999999999999997E-3</v>
      </c>
      <c r="K7" s="233">
        <f>5858552.73979552+234342.1+234342.1+98055764.9/418.43+98932204.4/422.17</f>
        <v>6795921.1398902042</v>
      </c>
      <c r="L7" s="233">
        <f>1294472.69934396+40254.3+39195.3+16095956/418.43+15796672.6/422.17</f>
        <v>1449807.5992226265</v>
      </c>
      <c r="M7" s="233">
        <f t="shared" si="0"/>
        <v>7264605.5901097963</v>
      </c>
      <c r="N7" s="324" t="s">
        <v>37</v>
      </c>
      <c r="P7" s="169"/>
    </row>
    <row r="8" spans="1:16" ht="67.5" outlineLevel="1" x14ac:dyDescent="0.25">
      <c r="A8" s="393">
        <v>3</v>
      </c>
      <c r="B8" s="394" t="s">
        <v>31</v>
      </c>
      <c r="C8" s="394" t="s">
        <v>44</v>
      </c>
      <c r="D8" s="399" t="s">
        <v>33</v>
      </c>
      <c r="E8" s="398" t="s">
        <v>317</v>
      </c>
      <c r="F8" s="399" t="s">
        <v>45</v>
      </c>
      <c r="G8" s="395" t="s">
        <v>35</v>
      </c>
      <c r="H8" s="233">
        <v>75000000</v>
      </c>
      <c r="I8" s="233"/>
      <c r="J8" s="243" t="s">
        <v>46</v>
      </c>
      <c r="K8" s="233"/>
      <c r="L8" s="233">
        <f>1932812.5+93750+93750+93750+93750</f>
        <v>2307812.5</v>
      </c>
      <c r="M8" s="233">
        <f t="shared" si="0"/>
        <v>0</v>
      </c>
      <c r="N8" s="324" t="s">
        <v>41</v>
      </c>
      <c r="P8" s="169"/>
    </row>
    <row r="9" spans="1:16" ht="57.75" customHeight="1" outlineLevel="1" x14ac:dyDescent="0.25">
      <c r="A9" s="467">
        <v>4</v>
      </c>
      <c r="B9" s="468" t="s">
        <v>31</v>
      </c>
      <c r="C9" s="468" t="s">
        <v>44</v>
      </c>
      <c r="D9" s="399" t="s">
        <v>33</v>
      </c>
      <c r="E9" s="469" t="s">
        <v>317</v>
      </c>
      <c r="F9" s="470" t="s">
        <v>47</v>
      </c>
      <c r="G9" s="395" t="s">
        <v>35</v>
      </c>
      <c r="H9" s="233">
        <v>10200000</v>
      </c>
      <c r="I9" s="233">
        <f>1075381.69+59500</f>
        <v>1134881.69</v>
      </c>
      <c r="J9" s="471" t="s">
        <v>36</v>
      </c>
      <c r="K9" s="233">
        <v>0</v>
      </c>
      <c r="L9" s="233">
        <f>200690.672577969+15587.2+6522152.1/418.43+6580448.3/422.17</f>
        <v>247452.27276755084</v>
      </c>
      <c r="M9" s="233">
        <f>I9-K9</f>
        <v>1134881.69</v>
      </c>
      <c r="N9" s="465" t="s">
        <v>41</v>
      </c>
      <c r="P9" s="169"/>
    </row>
    <row r="10" spans="1:16" ht="57.75" customHeight="1" outlineLevel="1" x14ac:dyDescent="0.25">
      <c r="A10" s="457"/>
      <c r="B10" s="460"/>
      <c r="C10" s="460"/>
      <c r="D10" s="399"/>
      <c r="E10" s="463"/>
      <c r="F10" s="461"/>
      <c r="G10" s="395" t="s">
        <v>3</v>
      </c>
      <c r="H10" s="233"/>
      <c r="I10" s="233">
        <v>244081445</v>
      </c>
      <c r="J10" s="472"/>
      <c r="K10" s="233"/>
      <c r="L10" s="233">
        <f>9774294.3+915305.4+915305.4</f>
        <v>11604905.100000001</v>
      </c>
      <c r="M10" s="233">
        <f>I10-K10</f>
        <v>244081445</v>
      </c>
      <c r="N10" s="466"/>
      <c r="P10" s="169"/>
    </row>
    <row r="11" spans="1:16" ht="76.5" customHeight="1" outlineLevel="1" x14ac:dyDescent="0.25">
      <c r="A11" s="467">
        <v>5</v>
      </c>
      <c r="B11" s="468" t="s">
        <v>31</v>
      </c>
      <c r="C11" s="468" t="s">
        <v>48</v>
      </c>
      <c r="D11" s="399"/>
      <c r="E11" s="469" t="s">
        <v>318</v>
      </c>
      <c r="F11" s="470" t="s">
        <v>49</v>
      </c>
      <c r="G11" s="395" t="s">
        <v>35</v>
      </c>
      <c r="H11" s="233">
        <v>10000000</v>
      </c>
      <c r="I11" s="233"/>
      <c r="J11" s="471" t="s">
        <v>50</v>
      </c>
      <c r="K11" s="233"/>
      <c r="L11" s="233">
        <v>50000</v>
      </c>
      <c r="M11" s="233">
        <f>I11-K11</f>
        <v>0</v>
      </c>
      <c r="N11" s="465" t="s">
        <v>51</v>
      </c>
      <c r="P11" s="169"/>
    </row>
    <row r="12" spans="1:16" ht="76.5" customHeight="1" outlineLevel="1" x14ac:dyDescent="0.25">
      <c r="A12" s="457"/>
      <c r="B12" s="460"/>
      <c r="C12" s="460"/>
      <c r="D12" s="399"/>
      <c r="E12" s="463"/>
      <c r="F12" s="461"/>
      <c r="G12" s="399" t="s">
        <v>3</v>
      </c>
      <c r="H12" s="233"/>
      <c r="I12" s="233"/>
      <c r="J12" s="472"/>
      <c r="K12" s="233"/>
      <c r="L12" s="233"/>
      <c r="M12" s="233">
        <f t="shared" si="0"/>
        <v>0</v>
      </c>
      <c r="N12" s="466"/>
      <c r="P12" s="169"/>
    </row>
    <row r="13" spans="1:16" ht="76.5" customHeight="1" outlineLevel="1" x14ac:dyDescent="0.25">
      <c r="A13" s="467">
        <v>6</v>
      </c>
      <c r="B13" s="468" t="s">
        <v>31</v>
      </c>
      <c r="C13" s="468" t="s">
        <v>52</v>
      </c>
      <c r="D13" s="399"/>
      <c r="E13" s="469" t="s">
        <v>319</v>
      </c>
      <c r="F13" s="470" t="s">
        <v>53</v>
      </c>
      <c r="G13" s="395" t="s">
        <v>35</v>
      </c>
      <c r="H13" s="233">
        <v>83000000</v>
      </c>
      <c r="I13" s="233"/>
      <c r="J13" s="471">
        <v>1.7999999999999999E-2</v>
      </c>
      <c r="K13" s="233"/>
      <c r="L13" s="233">
        <f>1930326.40003794+103750+103750+103750+103750</f>
        <v>2345326.4000379397</v>
      </c>
      <c r="M13" s="233">
        <f t="shared" si="0"/>
        <v>0</v>
      </c>
      <c r="N13" s="465" t="s">
        <v>41</v>
      </c>
      <c r="P13" s="169"/>
    </row>
    <row r="14" spans="1:16" ht="76.5" customHeight="1" outlineLevel="1" x14ac:dyDescent="0.25">
      <c r="A14" s="457"/>
      <c r="B14" s="460"/>
      <c r="C14" s="460"/>
      <c r="D14" s="399"/>
      <c r="E14" s="463"/>
      <c r="F14" s="461"/>
      <c r="G14" s="399" t="s">
        <v>3</v>
      </c>
      <c r="H14" s="233"/>
      <c r="I14" s="233"/>
      <c r="J14" s="472"/>
      <c r="K14" s="233"/>
      <c r="L14" s="233"/>
      <c r="M14" s="233">
        <f t="shared" si="0"/>
        <v>0</v>
      </c>
      <c r="N14" s="466"/>
      <c r="O14" s="245"/>
      <c r="P14" s="169"/>
    </row>
    <row r="15" spans="1:16" ht="96.75" customHeight="1" outlineLevel="1" x14ac:dyDescent="0.25">
      <c r="A15" s="458">
        <v>7</v>
      </c>
      <c r="B15" s="468" t="s">
        <v>31</v>
      </c>
      <c r="C15" s="468" t="s">
        <v>54</v>
      </c>
      <c r="D15" s="462" t="s">
        <v>55</v>
      </c>
      <c r="E15" s="464" t="s">
        <v>320</v>
      </c>
      <c r="F15" s="462" t="s">
        <v>56</v>
      </c>
      <c r="G15" s="395" t="s">
        <v>57</v>
      </c>
      <c r="H15" s="233">
        <f>35500000-1434414.8</f>
        <v>34065585.200000003</v>
      </c>
      <c r="I15" s="233">
        <v>34065585.200000003</v>
      </c>
      <c r="J15" s="473" t="s">
        <v>387</v>
      </c>
      <c r="K15" s="233">
        <f>3406558.5+438685248.4/386.33</f>
        <v>4542077.9999094037</v>
      </c>
      <c r="L15" s="233">
        <f>6927866.15+372600334/386.33</f>
        <v>7892327.4499249347</v>
      </c>
      <c r="M15" s="233">
        <f t="shared" si="0"/>
        <v>29523507.200090598</v>
      </c>
      <c r="N15" s="465" t="s">
        <v>58</v>
      </c>
      <c r="O15" s="245"/>
      <c r="P15" s="169"/>
    </row>
    <row r="16" spans="1:16" ht="68.25" customHeight="1" outlineLevel="1" x14ac:dyDescent="0.25">
      <c r="A16" s="458"/>
      <c r="B16" s="460"/>
      <c r="C16" s="460"/>
      <c r="D16" s="462"/>
      <c r="E16" s="464"/>
      <c r="F16" s="462"/>
      <c r="G16" s="399" t="s">
        <v>3</v>
      </c>
      <c r="H16" s="233"/>
      <c r="I16" s="233">
        <v>3680136115.8000002</v>
      </c>
      <c r="J16" s="473"/>
      <c r="K16" s="233">
        <f>387003402.1+121967878.3</f>
        <v>508971280.40000004</v>
      </c>
      <c r="L16" s="233">
        <f>743758864.24+103594252.5</f>
        <v>847353116.74000001</v>
      </c>
      <c r="M16" s="233">
        <f t="shared" si="0"/>
        <v>3171164835.4000001</v>
      </c>
      <c r="N16" s="466"/>
      <c r="O16" s="245"/>
      <c r="P16" s="169"/>
    </row>
    <row r="17" spans="1:15" s="169" customFormat="1" ht="81" customHeight="1" outlineLevel="1" x14ac:dyDescent="0.25">
      <c r="A17" s="467">
        <v>8</v>
      </c>
      <c r="B17" s="468" t="s">
        <v>31</v>
      </c>
      <c r="C17" s="468" t="s">
        <v>59</v>
      </c>
      <c r="D17" s="470" t="s">
        <v>55</v>
      </c>
      <c r="E17" s="469" t="s">
        <v>321</v>
      </c>
      <c r="F17" s="469" t="s">
        <v>60</v>
      </c>
      <c r="G17" s="395" t="s">
        <v>57</v>
      </c>
      <c r="H17" s="235">
        <f>40000000-2500000-1500000</f>
        <v>36000000</v>
      </c>
      <c r="I17" s="233">
        <v>23800757.16</v>
      </c>
      <c r="J17" s="243" t="s">
        <v>387</v>
      </c>
      <c r="K17" s="233">
        <v>0</v>
      </c>
      <c r="L17" s="233">
        <v>4091306.4512348948</v>
      </c>
      <c r="M17" s="233">
        <f t="shared" si="0"/>
        <v>23800757.16</v>
      </c>
      <c r="N17" s="465" t="s">
        <v>58</v>
      </c>
      <c r="O17" s="245"/>
    </row>
    <row r="18" spans="1:15" s="169" customFormat="1" ht="39.75" customHeight="1" outlineLevel="1" x14ac:dyDescent="0.25">
      <c r="A18" s="457"/>
      <c r="B18" s="460"/>
      <c r="C18" s="460"/>
      <c r="D18" s="461"/>
      <c r="E18" s="463"/>
      <c r="F18" s="463"/>
      <c r="G18" s="399" t="s">
        <v>3</v>
      </c>
      <c r="H18" s="235"/>
      <c r="I18" s="233">
        <v>1014345134.8000001</v>
      </c>
      <c r="J18" s="243"/>
      <c r="K18" s="233">
        <v>563212.19999999995</v>
      </c>
      <c r="L18" s="233">
        <v>165583419.29999998</v>
      </c>
      <c r="M18" s="233">
        <f t="shared" si="0"/>
        <v>1013781922.6</v>
      </c>
      <c r="N18" s="466"/>
      <c r="O18" s="245"/>
    </row>
    <row r="19" spans="1:15" s="169" customFormat="1" ht="70.5" customHeight="1" outlineLevel="1" x14ac:dyDescent="0.25">
      <c r="A19" s="467">
        <v>9</v>
      </c>
      <c r="B19" s="474" t="s">
        <v>31</v>
      </c>
      <c r="C19" s="468" t="s">
        <v>61</v>
      </c>
      <c r="D19" s="470" t="s">
        <v>55</v>
      </c>
      <c r="E19" s="469" t="s">
        <v>322</v>
      </c>
      <c r="F19" s="469" t="s">
        <v>62</v>
      </c>
      <c r="G19" s="395" t="s">
        <v>57</v>
      </c>
      <c r="H19" s="235">
        <v>23194486</v>
      </c>
      <c r="I19" s="233">
        <v>11144186.780000001</v>
      </c>
      <c r="J19" s="471" t="s">
        <v>387</v>
      </c>
      <c r="K19" s="233">
        <v>0</v>
      </c>
      <c r="L19" s="233">
        <f>1316813.632+122778919.2/386.33</f>
        <v>1634622.032072477</v>
      </c>
      <c r="M19" s="233">
        <f t="shared" si="0"/>
        <v>11144186.780000001</v>
      </c>
      <c r="N19" s="465" t="s">
        <v>58</v>
      </c>
      <c r="O19" s="245"/>
    </row>
    <row r="20" spans="1:15" s="169" customFormat="1" ht="54.75" customHeight="1" outlineLevel="1" x14ac:dyDescent="0.25">
      <c r="A20" s="457"/>
      <c r="B20" s="475"/>
      <c r="C20" s="476"/>
      <c r="D20" s="477"/>
      <c r="E20" s="463"/>
      <c r="F20" s="463"/>
      <c r="G20" s="399" t="s">
        <v>3</v>
      </c>
      <c r="H20" s="235"/>
      <c r="I20" s="233">
        <v>1416854593.3</v>
      </c>
      <c r="J20" s="478"/>
      <c r="K20" s="233">
        <v>91463799.799999997</v>
      </c>
      <c r="L20" s="233">
        <f>119885553.7+36155098.5</f>
        <v>156040652.19999999</v>
      </c>
      <c r="M20" s="233">
        <f t="shared" si="0"/>
        <v>1325390793.5</v>
      </c>
      <c r="N20" s="466"/>
      <c r="O20" s="245"/>
    </row>
    <row r="21" spans="1:15" s="169" customFormat="1" ht="60" customHeight="1" outlineLevel="1" x14ac:dyDescent="0.25">
      <c r="A21" s="467">
        <v>10</v>
      </c>
      <c r="B21" s="474" t="s">
        <v>63</v>
      </c>
      <c r="C21" s="476"/>
      <c r="D21" s="477"/>
      <c r="E21" s="469" t="s">
        <v>323</v>
      </c>
      <c r="F21" s="469" t="s">
        <v>62</v>
      </c>
      <c r="G21" s="395" t="s">
        <v>57</v>
      </c>
      <c r="H21" s="233">
        <v>16662617.070000002</v>
      </c>
      <c r="I21" s="233">
        <v>16662617.070000002</v>
      </c>
      <c r="J21" s="478"/>
      <c r="K21" s="233"/>
      <c r="L21" s="233">
        <f>2194958+182027405/386.38</f>
        <v>2666067.8012319477</v>
      </c>
      <c r="M21" s="233">
        <f t="shared" si="0"/>
        <v>16662617.070000002</v>
      </c>
      <c r="N21" s="465" t="s">
        <v>58</v>
      </c>
      <c r="O21" s="245"/>
    </row>
    <row r="22" spans="1:15" s="169" customFormat="1" ht="40.5" customHeight="1" outlineLevel="1" x14ac:dyDescent="0.25">
      <c r="A22" s="457"/>
      <c r="B22" s="475"/>
      <c r="C22" s="460"/>
      <c r="D22" s="461"/>
      <c r="E22" s="463"/>
      <c r="F22" s="463"/>
      <c r="G22" s="395" t="s">
        <v>3</v>
      </c>
      <c r="H22" s="202"/>
      <c r="I22" s="233">
        <v>2003005775.2</v>
      </c>
      <c r="J22" s="472"/>
      <c r="K22" s="233"/>
      <c r="L22" s="233">
        <f>238604865.8+56631905</f>
        <v>295236770.80000001</v>
      </c>
      <c r="M22" s="233">
        <f t="shared" si="0"/>
        <v>2003005775.2</v>
      </c>
      <c r="N22" s="466"/>
      <c r="O22" s="245"/>
    </row>
    <row r="23" spans="1:15" s="169" customFormat="1" ht="57.75" customHeight="1" outlineLevel="1" x14ac:dyDescent="0.25">
      <c r="A23" s="467">
        <v>11</v>
      </c>
      <c r="B23" s="474" t="s">
        <v>31</v>
      </c>
      <c r="C23" s="468" t="s">
        <v>64</v>
      </c>
      <c r="D23" s="470" t="s">
        <v>65</v>
      </c>
      <c r="E23" s="469" t="s">
        <v>321</v>
      </c>
      <c r="F23" s="470" t="s">
        <v>66</v>
      </c>
      <c r="G23" s="395" t="s">
        <v>67</v>
      </c>
      <c r="H23" s="249">
        <v>13988153</v>
      </c>
      <c r="I23" s="233">
        <v>8262785.6411363389</v>
      </c>
      <c r="J23" s="471">
        <v>3.1399999999999997E-2</v>
      </c>
      <c r="K23" s="233">
        <f>1430873.60020494+107795234.9/520.68</f>
        <v>1637901.4001972578</v>
      </c>
      <c r="L23" s="233">
        <f>1219413.93+55848657.5/520.68</f>
        <v>1326674.9300384112</v>
      </c>
      <c r="M23" s="233">
        <f t="shared" si="0"/>
        <v>6624884.2409390807</v>
      </c>
      <c r="N23" s="465" t="s">
        <v>58</v>
      </c>
      <c r="O23" s="245"/>
    </row>
    <row r="24" spans="1:15" s="169" customFormat="1" ht="32.25" customHeight="1" outlineLevel="1" x14ac:dyDescent="0.25">
      <c r="A24" s="457"/>
      <c r="B24" s="475"/>
      <c r="C24" s="476"/>
      <c r="D24" s="477"/>
      <c r="E24" s="463"/>
      <c r="F24" s="461"/>
      <c r="G24" s="399" t="s">
        <v>3</v>
      </c>
      <c r="H24" s="250"/>
      <c r="I24" s="233">
        <v>1194787815</v>
      </c>
      <c r="J24" s="472"/>
      <c r="K24" s="233">
        <f>209123295.3+29868621.8</f>
        <v>238991917.10000002</v>
      </c>
      <c r="L24" s="233">
        <f>177460224.6+15474933</f>
        <v>192935157.59999999</v>
      </c>
      <c r="M24" s="233">
        <f t="shared" si="0"/>
        <v>955795897.89999998</v>
      </c>
      <c r="N24" s="466"/>
      <c r="O24" s="245"/>
    </row>
    <row r="25" spans="1:15" s="169" customFormat="1" ht="51.75" customHeight="1" outlineLevel="1" x14ac:dyDescent="0.25">
      <c r="A25" s="467">
        <v>12</v>
      </c>
      <c r="B25" s="474" t="s">
        <v>68</v>
      </c>
      <c r="C25" s="476"/>
      <c r="D25" s="477"/>
      <c r="E25" s="469" t="s">
        <v>324</v>
      </c>
      <c r="F25" s="470" t="s">
        <v>66</v>
      </c>
      <c r="G25" s="395" t="s">
        <v>67</v>
      </c>
      <c r="H25" s="249">
        <v>10098535</v>
      </c>
      <c r="I25" s="233">
        <v>10121386.37101347</v>
      </c>
      <c r="J25" s="471">
        <v>3.1399999999999997E-2</v>
      </c>
      <c r="K25" s="233">
        <f>1520990.1+136750579/520.29</f>
        <v>1783825.40146649</v>
      </c>
      <c r="L25" s="233">
        <f>832426.027338+83294453/525+70252782/520.29</f>
        <v>1126108.3290630269</v>
      </c>
      <c r="M25" s="233">
        <f t="shared" si="0"/>
        <v>8337560.9695469802</v>
      </c>
      <c r="N25" s="465" t="s">
        <v>58</v>
      </c>
      <c r="O25" s="245"/>
    </row>
    <row r="26" spans="1:15" s="169" customFormat="1" ht="32.25" customHeight="1" outlineLevel="1" x14ac:dyDescent="0.25">
      <c r="A26" s="457"/>
      <c r="B26" s="475"/>
      <c r="C26" s="460"/>
      <c r="D26" s="461"/>
      <c r="E26" s="463"/>
      <c r="F26" s="461"/>
      <c r="G26" s="399" t="s">
        <v>3</v>
      </c>
      <c r="H26" s="250"/>
      <c r="I26" s="233">
        <v>794162455.89999998</v>
      </c>
      <c r="J26" s="472"/>
      <c r="K26" s="233">
        <f>123592049.7+20623615</f>
        <v>144215664.69999999</v>
      </c>
      <c r="L26" s="233">
        <f>78534680.8+10527955</f>
        <v>89062635.799999997</v>
      </c>
      <c r="M26" s="233">
        <f t="shared" si="0"/>
        <v>649946791.20000005</v>
      </c>
      <c r="N26" s="466"/>
      <c r="O26" s="245"/>
    </row>
    <row r="27" spans="1:15" s="169" customFormat="1" ht="48" customHeight="1" outlineLevel="1" x14ac:dyDescent="0.25">
      <c r="A27" s="393">
        <v>13</v>
      </c>
      <c r="B27" s="400" t="s">
        <v>31</v>
      </c>
      <c r="C27" s="480" t="s">
        <v>69</v>
      </c>
      <c r="D27" s="462" t="s">
        <v>70</v>
      </c>
      <c r="E27" s="398" t="s">
        <v>325</v>
      </c>
      <c r="F27" s="399" t="s">
        <v>71</v>
      </c>
      <c r="G27" s="395" t="s">
        <v>57</v>
      </c>
      <c r="H27" s="233">
        <v>19600000</v>
      </c>
      <c r="I27" s="233">
        <v>19419334.870000001</v>
      </c>
      <c r="J27" s="251">
        <v>5.0000000000000001E-3</v>
      </c>
      <c r="K27" s="233">
        <f>9716960.66852489+189584407.5/488.5+172026989.7/443.26+153375144/395.2+150045288.9/386.62</f>
        <v>11269340.668524889</v>
      </c>
      <c r="L27" s="233">
        <f>1129921.93024286+16077756.3/488.5+14096288.6/443.26+12233850.7/395.2+11546870.2/386.62</f>
        <v>1255458.1302620166</v>
      </c>
      <c r="M27" s="233">
        <f t="shared" si="0"/>
        <v>8149994.2014751118</v>
      </c>
      <c r="N27" s="324" t="s">
        <v>58</v>
      </c>
      <c r="O27" s="245"/>
    </row>
    <row r="28" spans="1:15" s="169" customFormat="1" ht="60" customHeight="1" outlineLevel="1" x14ac:dyDescent="0.25">
      <c r="A28" s="393">
        <v>14</v>
      </c>
      <c r="B28" s="400" t="s">
        <v>68</v>
      </c>
      <c r="C28" s="480"/>
      <c r="D28" s="462"/>
      <c r="E28" s="398" t="s">
        <v>326</v>
      </c>
      <c r="F28" s="399" t="s">
        <v>72</v>
      </c>
      <c r="G28" s="395" t="s">
        <v>57</v>
      </c>
      <c r="H28" s="233">
        <v>297276.53999999998</v>
      </c>
      <c r="I28" s="233">
        <v>297276.53999999998</v>
      </c>
      <c r="J28" s="243" t="s">
        <v>73</v>
      </c>
      <c r="K28" s="233">
        <f>257638.543537781+4361667/440.15+3916234/395.2+3837157/387.22</f>
        <v>287367.04489083763</v>
      </c>
      <c r="L28" s="233">
        <f>229541.53251276+1912186/489.99+1556591/440.15+1259898/395.2+1094284/387.22</f>
        <v>242994.53549180552</v>
      </c>
      <c r="M28" s="233">
        <f t="shared" si="0"/>
        <v>9909.4951091623516</v>
      </c>
      <c r="N28" s="324" t="s">
        <v>58</v>
      </c>
      <c r="O28" s="245"/>
    </row>
    <row r="29" spans="1:15" s="169" customFormat="1" ht="51" customHeight="1" outlineLevel="1" x14ac:dyDescent="0.25">
      <c r="A29" s="393">
        <v>15</v>
      </c>
      <c r="B29" s="400" t="s">
        <v>68</v>
      </c>
      <c r="C29" s="479" t="s">
        <v>74</v>
      </c>
      <c r="D29" s="462" t="s">
        <v>75</v>
      </c>
      <c r="E29" s="398" t="s">
        <v>327</v>
      </c>
      <c r="F29" s="399" t="s">
        <v>76</v>
      </c>
      <c r="G29" s="399" t="s">
        <v>77</v>
      </c>
      <c r="H29" s="233">
        <v>1571940173.3299999</v>
      </c>
      <c r="I29" s="233">
        <v>1598519063</v>
      </c>
      <c r="J29" s="251">
        <v>1.7999999999999999E-2</v>
      </c>
      <c r="K29" s="233">
        <f>1030178646.5+123394332/3.026+109815247/2.693</f>
        <v>1111734715.4027808</v>
      </c>
      <c r="L29" s="233">
        <f>226837831.925937+13873556/3.026+11211247/2.693</f>
        <v>235585722.74296552</v>
      </c>
      <c r="M29" s="233">
        <f t="shared" si="0"/>
        <v>486784347.59721923</v>
      </c>
      <c r="N29" s="324" t="s">
        <v>58</v>
      </c>
      <c r="O29" s="245"/>
    </row>
    <row r="30" spans="1:15" s="169" customFormat="1" ht="41.25" customHeight="1" outlineLevel="1" x14ac:dyDescent="0.25">
      <c r="A30" s="393">
        <v>16</v>
      </c>
      <c r="B30" s="394" t="s">
        <v>78</v>
      </c>
      <c r="C30" s="479"/>
      <c r="D30" s="462"/>
      <c r="E30" s="398" t="s">
        <v>328</v>
      </c>
      <c r="F30" s="399" t="s">
        <v>76</v>
      </c>
      <c r="G30" s="399" t="s">
        <v>77</v>
      </c>
      <c r="H30" s="233">
        <v>3796371795.6700001</v>
      </c>
      <c r="I30" s="233">
        <v>3861444249</v>
      </c>
      <c r="J30" s="251">
        <v>1.7999999999999999E-2</v>
      </c>
      <c r="K30" s="233">
        <f>2513837447.56+291897058.6/3.026+259774877.3/2.693</f>
        <v>2706763461.1630621</v>
      </c>
      <c r="L30" s="233">
        <f>553224853.256799+32762341/3.026+26475306.9/2.693</f>
        <v>573882957.45934212</v>
      </c>
      <c r="M30" s="233">
        <f t="shared" si="0"/>
        <v>1154680787.8369379</v>
      </c>
      <c r="N30" s="324" t="s">
        <v>58</v>
      </c>
      <c r="O30" s="245"/>
    </row>
    <row r="31" spans="1:15" s="169" customFormat="1" ht="33.75" customHeight="1" outlineLevel="1" x14ac:dyDescent="0.25">
      <c r="A31" s="458">
        <v>17</v>
      </c>
      <c r="B31" s="479" t="s">
        <v>79</v>
      </c>
      <c r="C31" s="480" t="s">
        <v>80</v>
      </c>
      <c r="D31" s="462" t="s">
        <v>70</v>
      </c>
      <c r="E31" s="464" t="s">
        <v>329</v>
      </c>
      <c r="F31" s="462" t="s">
        <v>81</v>
      </c>
      <c r="G31" s="395" t="s">
        <v>57</v>
      </c>
      <c r="H31" s="233">
        <v>4846628.13</v>
      </c>
      <c r="I31" s="233">
        <v>4737831.22</v>
      </c>
      <c r="J31" s="243">
        <v>7.4999999999999997E-3</v>
      </c>
      <c r="K31" s="233">
        <f>616176.07+18729201/386.44</f>
        <v>664642.06989649101</v>
      </c>
      <c r="L31" s="233">
        <f>353441.51+5923430/386.44</f>
        <v>368769.71101438778</v>
      </c>
      <c r="M31" s="233">
        <f t="shared" si="0"/>
        <v>4073189.1501035085</v>
      </c>
      <c r="N31" s="324" t="s">
        <v>82</v>
      </c>
      <c r="O31" s="245"/>
    </row>
    <row r="32" spans="1:15" s="169" customFormat="1" ht="41.25" customHeight="1" outlineLevel="1" x14ac:dyDescent="0.25">
      <c r="A32" s="458"/>
      <c r="B32" s="479"/>
      <c r="C32" s="480"/>
      <c r="D32" s="462"/>
      <c r="E32" s="464"/>
      <c r="F32" s="462"/>
      <c r="G32" s="399" t="s">
        <v>3</v>
      </c>
      <c r="H32" s="233">
        <v>1740568345.9000001</v>
      </c>
      <c r="I32" s="233">
        <v>1740568345.9000001</v>
      </c>
      <c r="J32" s="243">
        <v>7.4999999999999997E-3</v>
      </c>
      <c r="K32" s="233">
        <f>247100359+17402579</f>
        <v>264502938</v>
      </c>
      <c r="L32" s="233">
        <f>128165336.87+5554115.8</f>
        <v>133719452.67</v>
      </c>
      <c r="M32" s="233">
        <f t="shared" si="0"/>
        <v>1476065407.9000001</v>
      </c>
      <c r="N32" s="324" t="s">
        <v>82</v>
      </c>
      <c r="O32" s="245"/>
    </row>
    <row r="33" spans="1:16" ht="87" customHeight="1" outlineLevel="1" x14ac:dyDescent="0.25">
      <c r="A33" s="393">
        <v>18</v>
      </c>
      <c r="B33" s="400" t="s">
        <v>83</v>
      </c>
      <c r="C33" s="394" t="s">
        <v>84</v>
      </c>
      <c r="D33" s="399" t="s">
        <v>33</v>
      </c>
      <c r="E33" s="398" t="s">
        <v>330</v>
      </c>
      <c r="F33" s="398" t="s">
        <v>85</v>
      </c>
      <c r="G33" s="395" t="s">
        <v>35</v>
      </c>
      <c r="H33" s="252">
        <v>17895215.550000001</v>
      </c>
      <c r="I33" s="233">
        <v>17895215.550000001</v>
      </c>
      <c r="J33" s="243">
        <v>7.4999999999999997E-3</v>
      </c>
      <c r="K33" s="233">
        <f>7748628.1+130294835.3/415.04</f>
        <v>8062561.2999325357</v>
      </c>
      <c r="L33" s="233">
        <f>2568161.28+12471869/415.04+3320320/414.34</f>
        <v>2606224.5954896617</v>
      </c>
      <c r="M33" s="233">
        <f t="shared" si="0"/>
        <v>9832654.250067465</v>
      </c>
      <c r="N33" s="324" t="s">
        <v>58</v>
      </c>
      <c r="O33" s="245"/>
      <c r="P33" s="169"/>
    </row>
    <row r="34" spans="1:16" ht="40.5" customHeight="1" outlineLevel="1" x14ac:dyDescent="0.25">
      <c r="A34" s="458">
        <v>19</v>
      </c>
      <c r="B34" s="474" t="s">
        <v>86</v>
      </c>
      <c r="C34" s="480" t="s">
        <v>87</v>
      </c>
      <c r="D34" s="480" t="s">
        <v>288</v>
      </c>
      <c r="E34" s="480" t="s">
        <v>331</v>
      </c>
      <c r="F34" s="394" t="s">
        <v>88</v>
      </c>
      <c r="G34" s="395" t="s">
        <v>35</v>
      </c>
      <c r="H34" s="255">
        <v>22000000</v>
      </c>
      <c r="I34" s="233">
        <v>21247150.510000002</v>
      </c>
      <c r="J34" s="397" t="s">
        <v>89</v>
      </c>
      <c r="K34" s="233">
        <f>1047000+1047000+1047000+1047000+1047000+1047000</f>
        <v>6282000</v>
      </c>
      <c r="L34" s="233">
        <v>1901527.4</v>
      </c>
      <c r="M34" s="391">
        <f>I34-K34</f>
        <v>14965150.510000002</v>
      </c>
      <c r="N34" s="465" t="s">
        <v>473</v>
      </c>
      <c r="O34" s="245"/>
      <c r="P34" s="169"/>
    </row>
    <row r="35" spans="1:16" ht="31.5" customHeight="1" outlineLevel="1" x14ac:dyDescent="0.25">
      <c r="A35" s="458"/>
      <c r="B35" s="486"/>
      <c r="C35" s="480"/>
      <c r="D35" s="480"/>
      <c r="E35" s="480"/>
      <c r="F35" s="394" t="s">
        <v>91</v>
      </c>
      <c r="G35" s="395" t="s">
        <v>35</v>
      </c>
      <c r="H35" s="255">
        <v>14500000</v>
      </c>
      <c r="I35" s="233">
        <v>14491281.059999999</v>
      </c>
      <c r="J35" s="397" t="s">
        <v>36</v>
      </c>
      <c r="K35" s="233">
        <f>241000+241000+241000+241000+241000+241000</f>
        <v>1446000</v>
      </c>
      <c r="L35" s="233">
        <v>579706.23</v>
      </c>
      <c r="M35" s="391">
        <f>I35-K35</f>
        <v>13045281.059999999</v>
      </c>
      <c r="N35" s="481"/>
      <c r="O35" s="245"/>
      <c r="P35" s="169"/>
    </row>
    <row r="36" spans="1:16" ht="42.75" customHeight="1" outlineLevel="1" x14ac:dyDescent="0.25">
      <c r="A36" s="458"/>
      <c r="B36" s="475"/>
      <c r="C36" s="480"/>
      <c r="D36" s="480"/>
      <c r="E36" s="480"/>
      <c r="F36" s="394" t="s">
        <v>92</v>
      </c>
      <c r="G36" s="395" t="s">
        <v>35</v>
      </c>
      <c r="H36" s="255">
        <v>14500000</v>
      </c>
      <c r="I36" s="233">
        <v>14500000.000000002</v>
      </c>
      <c r="J36" s="397" t="s">
        <v>93</v>
      </c>
      <c r="K36" s="233">
        <f>2519999.6+630000+630000</f>
        <v>3779999.6</v>
      </c>
      <c r="L36" s="233">
        <v>2115062.19</v>
      </c>
      <c r="M36" s="391">
        <f>I36-K36</f>
        <v>10720000.400000002</v>
      </c>
      <c r="N36" s="466"/>
      <c r="O36" s="245"/>
      <c r="P36" s="169"/>
    </row>
    <row r="37" spans="1:16" ht="94.5" customHeight="1" outlineLevel="1" x14ac:dyDescent="0.25">
      <c r="A37" s="393">
        <v>20</v>
      </c>
      <c r="B37" s="394" t="s">
        <v>94</v>
      </c>
      <c r="C37" s="400" t="s">
        <v>95</v>
      </c>
      <c r="D37" s="399" t="s">
        <v>75</v>
      </c>
      <c r="E37" s="398" t="s">
        <v>332</v>
      </c>
      <c r="F37" s="399" t="s">
        <v>96</v>
      </c>
      <c r="G37" s="399" t="s">
        <v>77</v>
      </c>
      <c r="H37" s="402">
        <v>26409000000</v>
      </c>
      <c r="I37" s="233">
        <v>26399286331</v>
      </c>
      <c r="J37" s="243">
        <v>7.4999999999999997E-3</v>
      </c>
      <c r="K37" s="233">
        <f>7357230331.16835+1131704010/2.615</f>
        <v>7790004331.1683502</v>
      </c>
      <c r="L37" s="233">
        <f>2607354309.06995+188428717.2/2.615</f>
        <v>2679411179.8921299</v>
      </c>
      <c r="M37" s="396">
        <f t="shared" ref="M37:M46" si="1">I37-K37</f>
        <v>18609281999.83165</v>
      </c>
      <c r="N37" s="324" t="s">
        <v>97</v>
      </c>
      <c r="O37" s="245"/>
      <c r="P37" s="169"/>
    </row>
    <row r="38" spans="1:16" ht="51.75" customHeight="1" outlineLevel="1" x14ac:dyDescent="0.25">
      <c r="A38" s="393">
        <v>21</v>
      </c>
      <c r="B38" s="400" t="s">
        <v>31</v>
      </c>
      <c r="C38" s="394" t="s">
        <v>98</v>
      </c>
      <c r="D38" s="394" t="s">
        <v>99</v>
      </c>
      <c r="E38" s="398" t="s">
        <v>333</v>
      </c>
      <c r="F38" s="399" t="s">
        <v>100</v>
      </c>
      <c r="G38" s="395" t="s">
        <v>57</v>
      </c>
      <c r="H38" s="233">
        <v>8988290</v>
      </c>
      <c r="I38" s="233">
        <v>8988290</v>
      </c>
      <c r="J38" s="251">
        <v>5.0000000000000001E-3</v>
      </c>
      <c r="K38" s="233">
        <f>4199999.97+600000+600000+289644000/482.74+290820000/484.7+286458000/477.43+600000+600000+231939215.4/394.26</f>
        <v>8988289.9699999988</v>
      </c>
      <c r="L38" s="233">
        <f>838542.942447016+522591.6/394.26</f>
        <v>839868.44237092405</v>
      </c>
      <c r="M38" s="396">
        <f t="shared" si="1"/>
        <v>3.0000001192092896E-2</v>
      </c>
      <c r="N38" s="324" t="s">
        <v>82</v>
      </c>
      <c r="O38" s="245"/>
      <c r="P38" s="169"/>
    </row>
    <row r="39" spans="1:16" ht="63.75" customHeight="1" outlineLevel="1" x14ac:dyDescent="0.25">
      <c r="A39" s="393">
        <v>22</v>
      </c>
      <c r="B39" s="400" t="s">
        <v>101</v>
      </c>
      <c r="C39" s="394" t="s">
        <v>98</v>
      </c>
      <c r="D39" s="394" t="s">
        <v>102</v>
      </c>
      <c r="E39" s="258" t="s">
        <v>334</v>
      </c>
      <c r="F39" s="233" t="s">
        <v>103</v>
      </c>
      <c r="G39" s="253" t="s">
        <v>3</v>
      </c>
      <c r="H39" s="233">
        <v>1757100000</v>
      </c>
      <c r="I39" s="233">
        <v>1757100000</v>
      </c>
      <c r="J39" s="243">
        <v>7.4999999999999997E-3</v>
      </c>
      <c r="K39" s="233">
        <f>439275000+62753571.5+62753571.5+62753571.3+62753571.4+62753571.4+62753571.4+62753571.5</f>
        <v>878549999.99999988</v>
      </c>
      <c r="L39" s="233">
        <f>303383430.5+3313904.4+3032802.7</f>
        <v>309730137.59999996</v>
      </c>
      <c r="M39" s="396">
        <f t="shared" si="1"/>
        <v>878550000.00000012</v>
      </c>
      <c r="N39" s="324" t="s">
        <v>82</v>
      </c>
      <c r="O39" s="245"/>
      <c r="P39" s="169"/>
    </row>
    <row r="40" spans="1:16" ht="63.75" customHeight="1" outlineLevel="1" x14ac:dyDescent="0.25">
      <c r="A40" s="381">
        <v>23</v>
      </c>
      <c r="B40" s="400" t="s">
        <v>101</v>
      </c>
      <c r="C40" s="371" t="s">
        <v>104</v>
      </c>
      <c r="D40" s="394"/>
      <c r="E40" s="258" t="s">
        <v>335</v>
      </c>
      <c r="F40" s="233" t="s">
        <v>105</v>
      </c>
      <c r="G40" s="253" t="s">
        <v>3</v>
      </c>
      <c r="H40" s="233">
        <v>18700000000</v>
      </c>
      <c r="I40" s="233">
        <v>18700000000</v>
      </c>
      <c r="J40" s="387">
        <v>7.4999999999999997E-2</v>
      </c>
      <c r="K40" s="233">
        <f>890476190.5+890476190.5+890476190.5</f>
        <v>2671428571.5</v>
      </c>
      <c r="L40" s="233">
        <f>1333335616.4+703171232.9+699328767.1+670052837.5+632909002</f>
        <v>4038797455.9000001</v>
      </c>
      <c r="M40" s="396">
        <f t="shared" si="1"/>
        <v>16028571428.5</v>
      </c>
      <c r="N40" s="324" t="s">
        <v>82</v>
      </c>
      <c r="O40" s="245"/>
      <c r="P40" s="169"/>
    </row>
    <row r="41" spans="1:16" ht="63.75" customHeight="1" outlineLevel="1" x14ac:dyDescent="0.25">
      <c r="A41" s="381">
        <v>24</v>
      </c>
      <c r="B41" s="400" t="s">
        <v>101</v>
      </c>
      <c r="C41" s="371" t="s">
        <v>289</v>
      </c>
      <c r="D41" s="394"/>
      <c r="E41" s="262"/>
      <c r="F41" s="233" t="s">
        <v>272</v>
      </c>
      <c r="G41" s="253" t="s">
        <v>3</v>
      </c>
      <c r="H41" s="233">
        <v>25000000000</v>
      </c>
      <c r="I41" s="233">
        <v>25000000000</v>
      </c>
      <c r="J41" s="387">
        <v>0.09</v>
      </c>
      <c r="K41" s="233">
        <f>1190476190.4</f>
        <v>1190476190.4000001</v>
      </c>
      <c r="L41" s="233">
        <f>1171232876.7+1121917808.3+1128082191.8+1121917808.2</f>
        <v>4543150685</v>
      </c>
      <c r="M41" s="396">
        <f t="shared" si="1"/>
        <v>23809523809.599998</v>
      </c>
      <c r="N41" s="324" t="s">
        <v>82</v>
      </c>
      <c r="O41" s="245"/>
      <c r="P41" s="169"/>
    </row>
    <row r="42" spans="1:16" ht="63.75" customHeight="1" outlineLevel="1" x14ac:dyDescent="0.25">
      <c r="A42" s="381">
        <v>25</v>
      </c>
      <c r="B42" s="400" t="s">
        <v>101</v>
      </c>
      <c r="C42" s="371" t="s">
        <v>275</v>
      </c>
      <c r="D42" s="394"/>
      <c r="E42" s="258" t="s">
        <v>336</v>
      </c>
      <c r="F42" s="233" t="s">
        <v>276</v>
      </c>
      <c r="G42" s="253" t="s">
        <v>3</v>
      </c>
      <c r="H42" s="233">
        <v>2242223800</v>
      </c>
      <c r="I42" s="233">
        <v>2242223800</v>
      </c>
      <c r="J42" s="263">
        <v>9.1240000000000002E-2</v>
      </c>
      <c r="K42" s="233">
        <v>2242223800</v>
      </c>
      <c r="L42" s="233">
        <v>297062095</v>
      </c>
      <c r="M42" s="396">
        <f t="shared" si="1"/>
        <v>0</v>
      </c>
      <c r="N42" s="324" t="s">
        <v>82</v>
      </c>
      <c r="O42" s="245"/>
      <c r="P42" s="169"/>
    </row>
    <row r="43" spans="1:16" ht="57.75" customHeight="1" outlineLevel="1" x14ac:dyDescent="0.25">
      <c r="A43" s="467">
        <v>26</v>
      </c>
      <c r="B43" s="474" t="s">
        <v>101</v>
      </c>
      <c r="C43" s="468" t="s">
        <v>106</v>
      </c>
      <c r="D43" s="399" t="s">
        <v>107</v>
      </c>
      <c r="E43" s="469" t="s">
        <v>337</v>
      </c>
      <c r="F43" s="482" t="s">
        <v>108</v>
      </c>
      <c r="G43" s="395" t="s">
        <v>57</v>
      </c>
      <c r="H43" s="249">
        <v>270000000</v>
      </c>
      <c r="I43" s="233">
        <v>173574580.28</v>
      </c>
      <c r="J43" s="484">
        <v>0.03</v>
      </c>
      <c r="K43" s="233">
        <f>51199088.7002228+3370009369.8/394.93+3295429324.9/386.19</f>
        <v>68265451.600323498</v>
      </c>
      <c r="L43" s="233">
        <f>20309911.275649+723428666.7/394.93+646453366.1/386.19</f>
        <v>23815626.575622123</v>
      </c>
      <c r="M43" s="396">
        <f t="shared" si="1"/>
        <v>105309128.6796765</v>
      </c>
      <c r="N43" s="465" t="s">
        <v>90</v>
      </c>
      <c r="O43" s="245"/>
      <c r="P43" s="169"/>
    </row>
    <row r="44" spans="1:16" ht="57.75" customHeight="1" outlineLevel="1" x14ac:dyDescent="0.25">
      <c r="A44" s="457"/>
      <c r="B44" s="475"/>
      <c r="C44" s="460"/>
      <c r="D44" s="380"/>
      <c r="E44" s="463"/>
      <c r="F44" s="483"/>
      <c r="G44" s="253" t="s">
        <v>3</v>
      </c>
      <c r="H44" s="250">
        <v>1265847400</v>
      </c>
      <c r="I44" s="233">
        <f>9509488626+108542329</f>
        <v>9618030955</v>
      </c>
      <c r="J44" s="485"/>
      <c r="K44" s="233">
        <f>2858334735.47632+482835444.3+482835444.2</f>
        <v>3824005623.9763198</v>
      </c>
      <c r="L44" s="233">
        <f>1045375895.11175+103648675.3+94716219.7</f>
        <v>1243740790.1117501</v>
      </c>
      <c r="M44" s="396">
        <f t="shared" si="1"/>
        <v>5794025331.0236797</v>
      </c>
      <c r="N44" s="466"/>
      <c r="O44" s="245"/>
      <c r="P44" s="169"/>
    </row>
    <row r="45" spans="1:16" ht="57.75" customHeight="1" outlineLevel="1" x14ac:dyDescent="0.25">
      <c r="A45" s="393">
        <v>27</v>
      </c>
      <c r="B45" s="400" t="s">
        <v>101</v>
      </c>
      <c r="C45" s="394" t="s">
        <v>109</v>
      </c>
      <c r="D45" s="399"/>
      <c r="E45" s="389" t="s">
        <v>338</v>
      </c>
      <c r="F45" s="391" t="s">
        <v>110</v>
      </c>
      <c r="G45" s="231" t="s">
        <v>57</v>
      </c>
      <c r="H45" s="249">
        <v>8907500</v>
      </c>
      <c r="I45" s="233">
        <v>8907384.7100000009</v>
      </c>
      <c r="J45" s="471" t="s">
        <v>388</v>
      </c>
      <c r="K45" s="233"/>
      <c r="L45" s="233">
        <f>1241236.45+96159781.6/386.38</f>
        <v>1490110.05008282</v>
      </c>
      <c r="M45" s="406">
        <f t="shared" si="1"/>
        <v>8907384.7100000009</v>
      </c>
      <c r="N45" s="373" t="s">
        <v>111</v>
      </c>
      <c r="O45" s="245"/>
      <c r="P45" s="169"/>
    </row>
    <row r="46" spans="1:16" ht="78.75" customHeight="1" outlineLevel="1" thickBot="1" x14ac:dyDescent="0.3">
      <c r="A46" s="393">
        <v>28</v>
      </c>
      <c r="B46" s="377" t="s">
        <v>94</v>
      </c>
      <c r="C46" s="372" t="s">
        <v>109</v>
      </c>
      <c r="D46" s="378"/>
      <c r="E46" s="389" t="s">
        <v>339</v>
      </c>
      <c r="F46" s="275" t="s">
        <v>110</v>
      </c>
      <c r="G46" s="200" t="s">
        <v>57</v>
      </c>
      <c r="H46" s="276">
        <v>21092500</v>
      </c>
      <c r="I46" s="233">
        <v>21092210.790000003</v>
      </c>
      <c r="J46" s="491"/>
      <c r="K46" s="233"/>
      <c r="L46" s="233">
        <f>3081286.01+227668040/386.38</f>
        <v>3670519.5106987935</v>
      </c>
      <c r="M46" s="405">
        <f t="shared" si="1"/>
        <v>21092210.790000003</v>
      </c>
      <c r="N46" s="373" t="s">
        <v>112</v>
      </c>
      <c r="O46" s="245"/>
    </row>
    <row r="47" spans="1:16" s="202" customFormat="1" ht="15" customHeight="1" x14ac:dyDescent="0.25">
      <c r="A47" s="492" t="s">
        <v>121</v>
      </c>
      <c r="B47" s="493"/>
      <c r="C47" s="493"/>
      <c r="D47" s="496" t="s">
        <v>35</v>
      </c>
      <c r="E47" s="496"/>
      <c r="F47" s="496"/>
      <c r="G47" s="192"/>
      <c r="H47" s="193">
        <f>SUMIF($G$5:$G$46,D47,$H$5:$H$46)</f>
        <v>275755742.28000003</v>
      </c>
      <c r="I47" s="193">
        <f>SUMIF($G$5:$G$46,D47,$I$5:$I$46)</f>
        <v>97929055.540000007</v>
      </c>
      <c r="J47" s="193"/>
      <c r="K47" s="193">
        <f>SUMIF($G$5:$G$46,D47,$K$5:$K$46)</f>
        <v>34129148.739822738</v>
      </c>
      <c r="L47" s="193">
        <f>SUMIF($G$5:$G$46,D47,$L$5:$L$46)</f>
        <v>15458404.88751778</v>
      </c>
      <c r="M47" s="193">
        <f>SUMIF($G$5:$G$46,D47,$M$5:$M$46)</f>
        <v>63799906.800177261</v>
      </c>
      <c r="N47" s="326"/>
      <c r="O47" s="245"/>
    </row>
    <row r="48" spans="1:16" s="202" customFormat="1" ht="15" customHeight="1" x14ac:dyDescent="0.25">
      <c r="A48" s="494"/>
      <c r="B48" s="495"/>
      <c r="C48" s="495"/>
      <c r="D48" s="497" t="s">
        <v>3</v>
      </c>
      <c r="E48" s="497"/>
      <c r="F48" s="497"/>
      <c r="G48" s="195"/>
      <c r="H48" s="196">
        <f>SUMIF($G$5:$G$46,D48,$H$5:$H$46)</f>
        <v>50705739545.900002</v>
      </c>
      <c r="I48" s="196">
        <f>SUMIF($G$5:$G$46,D48,$I$5:$I$46)</f>
        <v>69405296435.899994</v>
      </c>
      <c r="J48" s="196"/>
      <c r="K48" s="196">
        <f>SUMIF($G$5:$G$46,D48,$K$5:$K$46)</f>
        <v>12055392998.076321</v>
      </c>
      <c r="L48" s="196">
        <f>SUMIF($G$5:$G$46,D48,$L$5:$L$46)</f>
        <v>12324017273.821749</v>
      </c>
      <c r="M48" s="196">
        <f>SUMIF($G$5:$G$46,D48,$M$5:$M$46)</f>
        <v>57349903437.823685</v>
      </c>
      <c r="N48" s="327"/>
      <c r="O48" s="245"/>
    </row>
    <row r="49" spans="1:15" s="202" customFormat="1" ht="15" customHeight="1" x14ac:dyDescent="0.25">
      <c r="A49" s="494"/>
      <c r="B49" s="495"/>
      <c r="C49" s="495"/>
      <c r="D49" s="497" t="s">
        <v>57</v>
      </c>
      <c r="E49" s="497"/>
      <c r="F49" s="497"/>
      <c r="G49" s="195"/>
      <c r="H49" s="196">
        <f>SUMIF($G$5:$G$46,D49,$H$5:$H$46)</f>
        <v>443654882.94000006</v>
      </c>
      <c r="I49" s="196">
        <f>SUMIF($G$5:$G$46,D49,$I$5:$I$46)</f>
        <v>322690054.62</v>
      </c>
      <c r="J49" s="196"/>
      <c r="K49" s="196">
        <f>SUMIF($G$5:$G$46,D49,$K$5:$K$46)</f>
        <v>94017169.353545114</v>
      </c>
      <c r="L49" s="196">
        <f>SUMIF($G$5:$G$46,D49,$L$5:$L$46)</f>
        <v>47967670.69000712</v>
      </c>
      <c r="M49" s="196">
        <f>SUMIF($G$5:$G$46,D49,$M$5:$M$46)</f>
        <v>228672885.26645488</v>
      </c>
      <c r="N49" s="327"/>
      <c r="O49" s="245"/>
    </row>
    <row r="50" spans="1:15" s="202" customFormat="1" ht="15" customHeight="1" x14ac:dyDescent="0.25">
      <c r="A50" s="494"/>
      <c r="B50" s="495"/>
      <c r="C50" s="495"/>
      <c r="D50" s="498" t="s">
        <v>77</v>
      </c>
      <c r="E50" s="498"/>
      <c r="F50" s="498"/>
      <c r="G50" s="204"/>
      <c r="H50" s="277">
        <f>SUMIF($G$5:$G$46,D50,$H$5:$H$46)</f>
        <v>31777311969</v>
      </c>
      <c r="I50" s="277">
        <f>SUMIF($G$5:$G$46,D50,$I$5:$I$46)</f>
        <v>31859249643</v>
      </c>
      <c r="J50" s="277"/>
      <c r="K50" s="277">
        <f>SUMIF($G$5:$G$46,D50,$K$5:$K$46)</f>
        <v>11608502507.734192</v>
      </c>
      <c r="L50" s="277">
        <f>SUMIF($G$5:$G$46,D50,$L$5:$L$46)</f>
        <v>3488879860.0944376</v>
      </c>
      <c r="M50" s="277">
        <f>SUMIF($G$5:$G$46,D50,$M$5:$M$46)</f>
        <v>20250747135.265808</v>
      </c>
      <c r="N50" s="328"/>
      <c r="O50" s="245"/>
    </row>
    <row r="51" spans="1:15" s="202" customFormat="1" ht="15" customHeight="1" thickBot="1" x14ac:dyDescent="0.3">
      <c r="A51" s="494"/>
      <c r="B51" s="495"/>
      <c r="C51" s="495"/>
      <c r="D51" s="499" t="s">
        <v>67</v>
      </c>
      <c r="E51" s="500"/>
      <c r="F51" s="501"/>
      <c r="G51" s="197"/>
      <c r="H51" s="198">
        <f>SUMIF($G$5:$G$46,D51,$H$5:$H$46)</f>
        <v>24086688</v>
      </c>
      <c r="I51" s="198">
        <f>SUMIF($G$5:$G$46,D51,$I$5:$I$46)</f>
        <v>18384172.012149811</v>
      </c>
      <c r="J51" s="198"/>
      <c r="K51" s="198">
        <f>SUMIF($G$5:$G$46,D51,$K$5:$K$46)</f>
        <v>3421726.801663748</v>
      </c>
      <c r="L51" s="198">
        <f>SUMIF($G$5:$G$46,D51,$L$5:$L$46)</f>
        <v>2452783.2591014383</v>
      </c>
      <c r="M51" s="198">
        <f>SUMIF($G$5:$G$46,D51,$M$5:$M$46)</f>
        <v>14962445.210486062</v>
      </c>
      <c r="N51" s="329"/>
      <c r="O51" s="245"/>
    </row>
    <row r="52" spans="1:15" ht="78" customHeight="1" outlineLevel="1" x14ac:dyDescent="0.25">
      <c r="A52" s="382">
        <v>29</v>
      </c>
      <c r="B52" s="376" t="s">
        <v>122</v>
      </c>
      <c r="C52" s="377" t="s">
        <v>123</v>
      </c>
      <c r="D52" s="379" t="s">
        <v>124</v>
      </c>
      <c r="E52" s="389" t="s">
        <v>340</v>
      </c>
      <c r="F52" s="389" t="s">
        <v>125</v>
      </c>
      <c r="G52" s="231" t="s">
        <v>35</v>
      </c>
      <c r="H52" s="391">
        <v>5000000</v>
      </c>
      <c r="I52" s="391">
        <v>5000000</v>
      </c>
      <c r="J52" s="404" t="s">
        <v>126</v>
      </c>
      <c r="K52" s="391">
        <f>4166666.69+208333.33</f>
        <v>4375000.0199999996</v>
      </c>
      <c r="L52" s="391">
        <v>553011.29</v>
      </c>
      <c r="M52" s="391">
        <f t="shared" ref="M52:M57" si="2">I52-K52</f>
        <v>624999.98000000045</v>
      </c>
      <c r="N52" s="374" t="s">
        <v>82</v>
      </c>
    </row>
    <row r="53" spans="1:15" ht="71.25" customHeight="1" outlineLevel="1" x14ac:dyDescent="0.25">
      <c r="A53" s="381">
        <v>30</v>
      </c>
      <c r="B53" s="474" t="s">
        <v>127</v>
      </c>
      <c r="C53" s="371" t="s">
        <v>128</v>
      </c>
      <c r="D53" s="380" t="s">
        <v>124</v>
      </c>
      <c r="E53" s="388" t="s">
        <v>341</v>
      </c>
      <c r="F53" s="388" t="s">
        <v>129</v>
      </c>
      <c r="G53" s="395" t="s">
        <v>35</v>
      </c>
      <c r="H53" s="233">
        <v>5000000</v>
      </c>
      <c r="I53" s="233">
        <v>5000000</v>
      </c>
      <c r="J53" s="387" t="s">
        <v>126</v>
      </c>
      <c r="K53" s="233">
        <f>3125000+208333.33</f>
        <v>3333333.33</v>
      </c>
      <c r="L53" s="233">
        <v>320254.8</v>
      </c>
      <c r="M53" s="233">
        <f t="shared" si="2"/>
        <v>1666666.67</v>
      </c>
      <c r="N53" s="465" t="s">
        <v>82</v>
      </c>
    </row>
    <row r="54" spans="1:15" ht="71.25" customHeight="1" outlineLevel="1" x14ac:dyDescent="0.25">
      <c r="A54" s="381">
        <v>31</v>
      </c>
      <c r="B54" s="475"/>
      <c r="C54" s="371"/>
      <c r="D54" s="380"/>
      <c r="E54" s="388"/>
      <c r="F54" s="388"/>
      <c r="G54" s="266" t="s">
        <v>3</v>
      </c>
      <c r="H54" s="233"/>
      <c r="I54" s="233">
        <v>66094595</v>
      </c>
      <c r="J54" s="387"/>
      <c r="K54" s="233">
        <f>6609471.44+6609433.4</f>
        <v>13218904.84</v>
      </c>
      <c r="L54" s="233">
        <v>1088882.5977352946</v>
      </c>
      <c r="M54" s="233">
        <f t="shared" si="2"/>
        <v>52875690.159999996</v>
      </c>
      <c r="N54" s="466"/>
    </row>
    <row r="55" spans="1:15" ht="55.5" customHeight="1" outlineLevel="1" x14ac:dyDescent="0.25">
      <c r="A55" s="393">
        <v>32</v>
      </c>
      <c r="B55" s="400" t="s">
        <v>130</v>
      </c>
      <c r="C55" s="394" t="s">
        <v>131</v>
      </c>
      <c r="D55" s="399" t="s">
        <v>132</v>
      </c>
      <c r="E55" s="398" t="s">
        <v>342</v>
      </c>
      <c r="F55" s="398" t="s">
        <v>133</v>
      </c>
      <c r="G55" s="395" t="s">
        <v>35</v>
      </c>
      <c r="H55" s="233">
        <v>5000000</v>
      </c>
      <c r="I55" s="233">
        <v>5000000</v>
      </c>
      <c r="J55" s="243" t="s">
        <v>126</v>
      </c>
      <c r="K55" s="233">
        <f>3227272.74+97124988.4/427.35</f>
        <v>3454545.4401287003</v>
      </c>
      <c r="L55" s="233">
        <f>'[2]Hashvark 03.05.11'!$M$87+'[2]Hashvark 03.05.11'!$T$87</f>
        <v>475298.33641151118</v>
      </c>
      <c r="M55" s="233">
        <f t="shared" si="2"/>
        <v>1545454.5598712997</v>
      </c>
      <c r="N55" s="324" t="s">
        <v>82</v>
      </c>
    </row>
    <row r="56" spans="1:15" ht="57" customHeight="1" outlineLevel="1" x14ac:dyDescent="0.25">
      <c r="A56" s="467">
        <v>33</v>
      </c>
      <c r="B56" s="474" t="s">
        <v>134</v>
      </c>
      <c r="C56" s="468" t="s">
        <v>135</v>
      </c>
      <c r="D56" s="380" t="s">
        <v>132</v>
      </c>
      <c r="E56" s="388" t="s">
        <v>343</v>
      </c>
      <c r="F56" s="388" t="s">
        <v>136</v>
      </c>
      <c r="G56" s="266" t="s">
        <v>35</v>
      </c>
      <c r="H56" s="390">
        <v>5000000</v>
      </c>
      <c r="I56" s="233">
        <v>3000000</v>
      </c>
      <c r="J56" s="263" t="s">
        <v>290</v>
      </c>
      <c r="K56" s="233">
        <v>676724.13793103443</v>
      </c>
      <c r="L56" s="233">
        <v>222742.90472119639</v>
      </c>
      <c r="M56" s="390">
        <f t="shared" si="2"/>
        <v>2323275.8620689656</v>
      </c>
      <c r="N56" s="465" t="s">
        <v>82</v>
      </c>
    </row>
    <row r="57" spans="1:15" ht="57" customHeight="1" outlineLevel="1" thickBot="1" x14ac:dyDescent="0.3">
      <c r="A57" s="487"/>
      <c r="B57" s="488"/>
      <c r="C57" s="489"/>
      <c r="D57" s="380" t="s">
        <v>132</v>
      </c>
      <c r="E57" s="388" t="s">
        <v>343</v>
      </c>
      <c r="F57" s="388" t="s">
        <v>273</v>
      </c>
      <c r="G57" s="266" t="s">
        <v>3</v>
      </c>
      <c r="H57" s="390"/>
      <c r="I57" s="233">
        <v>69055257.109999999</v>
      </c>
      <c r="J57" s="263">
        <v>1.404E-2</v>
      </c>
      <c r="K57" s="233">
        <v>9751561.9283781946</v>
      </c>
      <c r="L57" s="233">
        <v>1328413.7934904536</v>
      </c>
      <c r="M57" s="390">
        <f t="shared" si="2"/>
        <v>59303695.181621805</v>
      </c>
      <c r="N57" s="490"/>
    </row>
    <row r="58" spans="1:15" s="202" customFormat="1" ht="15" customHeight="1" x14ac:dyDescent="0.25">
      <c r="A58" s="492" t="s">
        <v>137</v>
      </c>
      <c r="B58" s="493"/>
      <c r="C58" s="493"/>
      <c r="D58" s="496" t="s">
        <v>35</v>
      </c>
      <c r="E58" s="496"/>
      <c r="F58" s="496"/>
      <c r="G58" s="192"/>
      <c r="H58" s="193">
        <f>SUMIF($G$52:$G$57,D58,$H$52:$H$57)</f>
        <v>20000000</v>
      </c>
      <c r="I58" s="193">
        <f>SUMIF($G$52:$G$57,D58,$I$52:$I$57)</f>
        <v>18000000</v>
      </c>
      <c r="J58" s="194"/>
      <c r="K58" s="193">
        <f>SUMIF($G$52:$G$57,D58,$K$52:$K$57)</f>
        <v>11839602.928059734</v>
      </c>
      <c r="L58" s="193">
        <f>SUMIF($G$52:$G$57,D58,$L$52:$L$57)</f>
        <v>1571307.3311327077</v>
      </c>
      <c r="M58" s="193">
        <f>SUMIF($G$52:$G$57,D58,$M$52:$M$57)</f>
        <v>6160397.0719402656</v>
      </c>
      <c r="N58" s="326"/>
      <c r="O58" s="245"/>
    </row>
    <row r="59" spans="1:15" s="202" customFormat="1" ht="15" customHeight="1" x14ac:dyDescent="0.25">
      <c r="A59" s="494"/>
      <c r="B59" s="495"/>
      <c r="C59" s="495"/>
      <c r="D59" s="497" t="s">
        <v>3</v>
      </c>
      <c r="E59" s="497"/>
      <c r="F59" s="497"/>
      <c r="G59" s="195"/>
      <c r="H59" s="196">
        <f>SUMIF($G$52:$G$57,D59,$H$52:$H$57)</f>
        <v>0</v>
      </c>
      <c r="I59" s="196">
        <f>SUMIF($G$52:$G$57,D59,$I$52:$I$57)</f>
        <v>135149852.11000001</v>
      </c>
      <c r="J59" s="196"/>
      <c r="K59" s="196">
        <f>SUMIF($G$52:$G$57,D59,$K$52:$K$57)</f>
        <v>22970466.768378194</v>
      </c>
      <c r="L59" s="196">
        <f>SUMIF($G$52:$G$57,D59,$L$52:$L$57)</f>
        <v>2417296.3912257482</v>
      </c>
      <c r="M59" s="196">
        <f>SUMIF($G$52:$G$57,D59,$M$52:$M$57)</f>
        <v>112179385.3416218</v>
      </c>
      <c r="N59" s="327"/>
      <c r="O59" s="245"/>
    </row>
    <row r="60" spans="1:15" s="202" customFormat="1" ht="15" customHeight="1" x14ac:dyDescent="0.25">
      <c r="A60" s="494"/>
      <c r="B60" s="495"/>
      <c r="C60" s="495"/>
      <c r="D60" s="497" t="s">
        <v>57</v>
      </c>
      <c r="E60" s="497"/>
      <c r="F60" s="497"/>
      <c r="G60" s="195"/>
      <c r="H60" s="196">
        <f>SUMIF($G$52:$G$57,D60,$H$52:$H$57)</f>
        <v>0</v>
      </c>
      <c r="I60" s="196">
        <f>SUMIF($G$52:$G$57,D60,$I$52:$I$57)</f>
        <v>0</v>
      </c>
      <c r="J60" s="196"/>
      <c r="K60" s="196">
        <f>SUMIF($G$52:$G$57,D60,$K$52:$K$57)</f>
        <v>0</v>
      </c>
      <c r="L60" s="196">
        <f>SUMIF($G$52:$G$57,D60,$L$52:$L$57)</f>
        <v>0</v>
      </c>
      <c r="M60" s="196">
        <f>SUMIF($G$52:$G$57,D60,$M$52:$M$57)</f>
        <v>0</v>
      </c>
      <c r="N60" s="327"/>
      <c r="O60" s="245"/>
    </row>
    <row r="61" spans="1:15" s="202" customFormat="1" ht="15" customHeight="1" thickBot="1" x14ac:dyDescent="0.3">
      <c r="A61" s="502"/>
      <c r="B61" s="503"/>
      <c r="C61" s="503"/>
      <c r="D61" s="504" t="s">
        <v>77</v>
      </c>
      <c r="E61" s="504"/>
      <c r="F61" s="504"/>
      <c r="G61" s="197"/>
      <c r="H61" s="198">
        <f>SUMIF($G$52:$G$57,D61,$H$52:$H$57)</f>
        <v>0</v>
      </c>
      <c r="I61" s="198">
        <f>SUMIF($G$52:$G$57,D61,$I$52:$I$57)</f>
        <v>0</v>
      </c>
      <c r="J61" s="198"/>
      <c r="K61" s="198">
        <f>SUMIF($G$52:$G$57,D61,$K$52:$K$57)</f>
        <v>0</v>
      </c>
      <c r="L61" s="198">
        <f>SUMIF($G$52:$G$57,D61,$L$52:$L$57)</f>
        <v>0</v>
      </c>
      <c r="M61" s="198">
        <f>SUMIF($G$52:$G$57,D61,$M$52:$M$57)</f>
        <v>0</v>
      </c>
      <c r="N61" s="329"/>
      <c r="O61" s="245"/>
    </row>
    <row r="62" spans="1:15" s="284" customFormat="1" ht="91.5" customHeight="1" outlineLevel="1" x14ac:dyDescent="0.25">
      <c r="A62" s="393">
        <v>34</v>
      </c>
      <c r="B62" s="394" t="s">
        <v>138</v>
      </c>
      <c r="C62" s="394" t="s">
        <v>139</v>
      </c>
      <c r="D62" s="394" t="s">
        <v>107</v>
      </c>
      <c r="E62" s="282" t="s">
        <v>344</v>
      </c>
      <c r="F62" s="394" t="s">
        <v>140</v>
      </c>
      <c r="G62" s="394" t="s">
        <v>3</v>
      </c>
      <c r="H62" s="233">
        <v>74000000000</v>
      </c>
      <c r="I62" s="233">
        <v>74000000000</v>
      </c>
      <c r="J62" s="243" t="s">
        <v>141</v>
      </c>
      <c r="K62" s="233">
        <f>38761904762.2+1761904761.9+1761904761.9+1761904761.9+1761904761.9+1761904761.9+1761904761.9+1761904761.9+1761904761.9+1761904761.9+1761904761.9+1761904761.9+1761904761.9+1761904761.9+1761904761.9</f>
        <v>63428571428.800018</v>
      </c>
      <c r="L62" s="233">
        <f>27000442621.6+339655076+452522803+1282602.5+1775075.4+2158135.7+3391292+3227331.6+129991976+1018964.4+2022668.8+2554945</f>
        <v>27940043492</v>
      </c>
      <c r="M62" s="396">
        <f>I62-K62</f>
        <v>10571428571.199982</v>
      </c>
      <c r="N62" s="324" t="s">
        <v>82</v>
      </c>
      <c r="O62" s="283"/>
    </row>
    <row r="63" spans="1:15" s="284" customFormat="1" ht="91.5" customHeight="1" outlineLevel="1" x14ac:dyDescent="0.25">
      <c r="A63" s="393">
        <v>35</v>
      </c>
      <c r="B63" s="394" t="s">
        <v>138</v>
      </c>
      <c r="C63" s="394" t="s">
        <v>142</v>
      </c>
      <c r="D63" s="394" t="s">
        <v>291</v>
      </c>
      <c r="E63" s="282" t="s">
        <v>345</v>
      </c>
      <c r="F63" s="394" t="s">
        <v>143</v>
      </c>
      <c r="G63" s="394" t="s">
        <v>3</v>
      </c>
      <c r="H63" s="233">
        <v>2035890300</v>
      </c>
      <c r="I63" s="233">
        <v>2035890300</v>
      </c>
      <c r="J63" s="243" t="s">
        <v>50</v>
      </c>
      <c r="K63" s="233">
        <v>0</v>
      </c>
      <c r="L63" s="233">
        <v>0</v>
      </c>
      <c r="M63" s="396">
        <f t="shared" ref="M63:M68" si="3">I63-K63</f>
        <v>2035890300</v>
      </c>
      <c r="N63" s="324" t="s">
        <v>82</v>
      </c>
      <c r="O63" s="283"/>
    </row>
    <row r="64" spans="1:15" ht="121.5" outlineLevel="1" x14ac:dyDescent="0.25">
      <c r="A64" s="382">
        <v>36</v>
      </c>
      <c r="B64" s="400" t="s">
        <v>144</v>
      </c>
      <c r="C64" s="394" t="s">
        <v>145</v>
      </c>
      <c r="D64" s="399" t="s">
        <v>33</v>
      </c>
      <c r="E64" s="398" t="s">
        <v>346</v>
      </c>
      <c r="F64" s="399" t="s">
        <v>146</v>
      </c>
      <c r="G64" s="395" t="s">
        <v>35</v>
      </c>
      <c r="H64" s="233">
        <v>3500000</v>
      </c>
      <c r="I64" s="233">
        <v>3500000</v>
      </c>
      <c r="J64" s="243">
        <v>7.4999999999999997E-3</v>
      </c>
      <c r="K64" s="233">
        <f>696000+31440060/542.07+58000+24255020/418.19+24400600/420.7</f>
        <v>928000</v>
      </c>
      <c r="L64" s="233">
        <f>399592.922231146+10515+10297.5+4215355.2/418.19+4149153.8/420.7</f>
        <v>440347.92234999558</v>
      </c>
      <c r="M64" s="396">
        <f t="shared" si="3"/>
        <v>2572000</v>
      </c>
      <c r="N64" s="324" t="s">
        <v>82</v>
      </c>
    </row>
    <row r="65" spans="1:15" ht="69" customHeight="1" outlineLevel="1" x14ac:dyDescent="0.25">
      <c r="A65" s="393">
        <v>37</v>
      </c>
      <c r="B65" s="400" t="s">
        <v>147</v>
      </c>
      <c r="C65" s="394" t="s">
        <v>148</v>
      </c>
      <c r="D65" s="394" t="s">
        <v>149</v>
      </c>
      <c r="E65" s="401" t="s">
        <v>347</v>
      </c>
      <c r="F65" s="399" t="s">
        <v>150</v>
      </c>
      <c r="G65" s="395" t="s">
        <v>57</v>
      </c>
      <c r="H65" s="396">
        <v>1689937.9</v>
      </c>
      <c r="I65" s="233">
        <v>1689937.9</v>
      </c>
      <c r="J65" s="397">
        <v>5.9900000000000002E-2</v>
      </c>
      <c r="K65" s="233">
        <f>872805.23+28165</f>
        <v>900970.23</v>
      </c>
      <c r="L65" s="233">
        <f>1964862.47+25588.58</f>
        <v>1990451.05</v>
      </c>
      <c r="M65" s="396">
        <f t="shared" si="3"/>
        <v>788967.66999999993</v>
      </c>
      <c r="N65" s="330" t="s">
        <v>82</v>
      </c>
    </row>
    <row r="66" spans="1:15" ht="69.75" customHeight="1" outlineLevel="1" x14ac:dyDescent="0.25">
      <c r="A66" s="382">
        <v>38</v>
      </c>
      <c r="B66" s="400" t="s">
        <v>151</v>
      </c>
      <c r="C66" s="394" t="s">
        <v>152</v>
      </c>
      <c r="D66" s="394" t="s">
        <v>149</v>
      </c>
      <c r="E66" s="401" t="s">
        <v>348</v>
      </c>
      <c r="F66" s="399" t="s">
        <v>153</v>
      </c>
      <c r="G66" s="395" t="s">
        <v>57</v>
      </c>
      <c r="H66" s="396">
        <v>2828000</v>
      </c>
      <c r="I66" s="233">
        <v>2828000</v>
      </c>
      <c r="J66" s="397">
        <v>5.9900000000000002E-2</v>
      </c>
      <c r="K66" s="396">
        <v>1128831.5</v>
      </c>
      <c r="L66" s="233">
        <v>1731608.85</v>
      </c>
      <c r="M66" s="396">
        <f t="shared" si="3"/>
        <v>1699168.5</v>
      </c>
      <c r="N66" s="330" t="s">
        <v>82</v>
      </c>
    </row>
    <row r="67" spans="1:15" s="177" customFormat="1" ht="177" customHeight="1" outlineLevel="1" x14ac:dyDescent="0.2">
      <c r="A67" s="393">
        <v>39</v>
      </c>
      <c r="B67" s="400" t="s">
        <v>154</v>
      </c>
      <c r="C67" s="394" t="s">
        <v>155</v>
      </c>
      <c r="D67" s="394" t="s">
        <v>149</v>
      </c>
      <c r="E67" s="399" t="s">
        <v>349</v>
      </c>
      <c r="F67" s="399" t="s">
        <v>156</v>
      </c>
      <c r="G67" s="394" t="s">
        <v>3</v>
      </c>
      <c r="H67" s="286">
        <v>2092000000</v>
      </c>
      <c r="I67" s="233">
        <v>2092000000</v>
      </c>
      <c r="J67" s="287">
        <v>0.02</v>
      </c>
      <c r="K67" s="233">
        <f>354576270+35457627.1+35457627</f>
        <v>425491524.10000002</v>
      </c>
      <c r="L67" s="233">
        <f>426427783.87+17517039.3+16879773.4</f>
        <v>460824596.56999999</v>
      </c>
      <c r="M67" s="396">
        <f t="shared" si="3"/>
        <v>1666508475.9000001</v>
      </c>
      <c r="N67" s="330" t="s">
        <v>82</v>
      </c>
      <c r="O67" s="288"/>
    </row>
    <row r="68" spans="1:15" s="177" customFormat="1" ht="169.5" customHeight="1" outlineLevel="1" thickBot="1" x14ac:dyDescent="0.25">
      <c r="A68" s="382">
        <v>40</v>
      </c>
      <c r="B68" s="400" t="s">
        <v>154</v>
      </c>
      <c r="C68" s="394" t="s">
        <v>157</v>
      </c>
      <c r="D68" s="394" t="s">
        <v>149</v>
      </c>
      <c r="E68" s="399" t="s">
        <v>350</v>
      </c>
      <c r="F68" s="399" t="s">
        <v>158</v>
      </c>
      <c r="G68" s="399" t="s">
        <v>3</v>
      </c>
      <c r="H68" s="286">
        <v>2187306400</v>
      </c>
      <c r="I68" s="286">
        <v>2187306400</v>
      </c>
      <c r="J68" s="287">
        <v>0.03</v>
      </c>
      <c r="K68" s="233">
        <v>0</v>
      </c>
      <c r="L68" s="233">
        <f>224789707.9+33079263.9+32539928.1</f>
        <v>290408899.90000004</v>
      </c>
      <c r="M68" s="396">
        <f t="shared" si="3"/>
        <v>2187306400</v>
      </c>
      <c r="N68" s="330" t="s">
        <v>82</v>
      </c>
      <c r="O68" s="288"/>
    </row>
    <row r="69" spans="1:15" s="202" customFormat="1" ht="15" customHeight="1" x14ac:dyDescent="0.25">
      <c r="A69" s="492" t="s">
        <v>159</v>
      </c>
      <c r="B69" s="493"/>
      <c r="C69" s="493"/>
      <c r="D69" s="496" t="s">
        <v>35</v>
      </c>
      <c r="E69" s="496"/>
      <c r="F69" s="496"/>
      <c r="G69" s="192"/>
      <c r="H69" s="194">
        <f>SUMIF($G$62:$G$68,D69,$H$62:$H$68)</f>
        <v>3500000</v>
      </c>
      <c r="I69" s="194">
        <f>SUMIF($G$62:$G$68,D69,$I$62:$I$68)</f>
        <v>3500000</v>
      </c>
      <c r="J69" s="194"/>
      <c r="K69" s="194">
        <f>SUMIF($G$62:$G$68,D69,$K$62:$K$68)</f>
        <v>928000</v>
      </c>
      <c r="L69" s="194">
        <f>SUMIF($G$62:$G$68,D69,$L$62:$L$68)</f>
        <v>440347.92234999558</v>
      </c>
      <c r="M69" s="194">
        <f>SUMIF($G$62:$G$68,D69,$M$62:$M$68)</f>
        <v>2572000</v>
      </c>
      <c r="N69" s="326"/>
      <c r="O69" s="245"/>
    </row>
    <row r="70" spans="1:15" s="202" customFormat="1" ht="15" customHeight="1" x14ac:dyDescent="0.25">
      <c r="A70" s="494"/>
      <c r="B70" s="495"/>
      <c r="C70" s="495"/>
      <c r="D70" s="497" t="s">
        <v>3</v>
      </c>
      <c r="E70" s="497"/>
      <c r="F70" s="497"/>
      <c r="G70" s="195"/>
      <c r="H70" s="196">
        <f>SUMIF($G$62:$G$68,D70,$H$62:$H$68)</f>
        <v>80315196700</v>
      </c>
      <c r="I70" s="196">
        <f>SUMIF($G$62:$G$68,D70,$I$62:$I$68)</f>
        <v>80315196700</v>
      </c>
      <c r="J70" s="196"/>
      <c r="K70" s="196">
        <f>SUMIF($G$62:$G$68,D70,$K$62:$K$68)</f>
        <v>63854062952.900017</v>
      </c>
      <c r="L70" s="196">
        <f>SUMIF($G$62:$G$68,D70,$L$62:$L$68)</f>
        <v>28691276988.470001</v>
      </c>
      <c r="M70" s="196">
        <f>SUMIF($G$62:$G$68,D70,$M$62:$M$68)</f>
        <v>16461133747.099981</v>
      </c>
      <c r="N70" s="327"/>
      <c r="O70" s="245"/>
    </row>
    <row r="71" spans="1:15" s="202" customFormat="1" ht="15" customHeight="1" x14ac:dyDescent="0.25">
      <c r="A71" s="494"/>
      <c r="B71" s="495"/>
      <c r="C71" s="495"/>
      <c r="D71" s="497" t="s">
        <v>57</v>
      </c>
      <c r="E71" s="497"/>
      <c r="F71" s="497"/>
      <c r="G71" s="195"/>
      <c r="H71" s="196">
        <f>SUMIF($G$62:$G$68,D71,$H$62:$H$68)</f>
        <v>4517937.9000000004</v>
      </c>
      <c r="I71" s="196">
        <f>SUMIF($G$62:$G$68,D71,$I$62:$I$68)</f>
        <v>4517937.9000000004</v>
      </c>
      <c r="J71" s="196"/>
      <c r="K71" s="196">
        <f>SUMIF($G$62:$G$68,D71,$K$62:$K$68)</f>
        <v>2029801.73</v>
      </c>
      <c r="L71" s="196">
        <f>SUMIF($G$62:$G$68,D71,$L$62:$L$68)</f>
        <v>3722059.9000000004</v>
      </c>
      <c r="M71" s="196">
        <f>SUMIF($G$62:$G$68,D71,$M$62:$M$68)</f>
        <v>2488136.17</v>
      </c>
      <c r="N71" s="327"/>
      <c r="O71" s="245"/>
    </row>
    <row r="72" spans="1:15" s="202" customFormat="1" ht="15" thickBot="1" x14ac:dyDescent="0.3">
      <c r="A72" s="502"/>
      <c r="B72" s="503"/>
      <c r="C72" s="503"/>
      <c r="D72" s="504" t="s">
        <v>77</v>
      </c>
      <c r="E72" s="504"/>
      <c r="F72" s="504"/>
      <c r="G72" s="197"/>
      <c r="H72" s="198">
        <f>SUMIF($G$62:$G$68,D72,$H$62:$H$68)</f>
        <v>0</v>
      </c>
      <c r="I72" s="198">
        <f>SUMIF($G$62:$G$68,D72,$I$62:$I$68)</f>
        <v>0</v>
      </c>
      <c r="J72" s="198"/>
      <c r="K72" s="198">
        <f>SUMIF($G$62:$G$68,D72,$K$62:$K$68)</f>
        <v>0</v>
      </c>
      <c r="L72" s="198">
        <f>SUMIF($G$62:$G$68,D72,$L$62:$L$68)</f>
        <v>0</v>
      </c>
      <c r="M72" s="198">
        <f>SUMIF($G$62:$G$68,D72,$M$62:$M$68)</f>
        <v>0</v>
      </c>
      <c r="N72" s="329"/>
      <c r="O72" s="245"/>
    </row>
    <row r="73" spans="1:15" s="284" customFormat="1" ht="77.25" customHeight="1" outlineLevel="1" x14ac:dyDescent="0.25">
      <c r="A73" s="393">
        <v>41</v>
      </c>
      <c r="B73" s="400" t="s">
        <v>160</v>
      </c>
      <c r="C73" s="394" t="s">
        <v>161</v>
      </c>
      <c r="D73" s="394" t="s">
        <v>99</v>
      </c>
      <c r="E73" s="394" t="s">
        <v>351</v>
      </c>
      <c r="F73" s="394" t="s">
        <v>162</v>
      </c>
      <c r="G73" s="395" t="s">
        <v>57</v>
      </c>
      <c r="H73" s="233">
        <v>361332</v>
      </c>
      <c r="I73" s="233">
        <v>361332</v>
      </c>
      <c r="J73" s="243">
        <v>7.7700000000000005E-2</v>
      </c>
      <c r="K73" s="233">
        <f>162402.753184719+8510000/490.37+(1000000+1000000+500000)/395.19+10099.73+2000000/388.3+2000000/388.21</f>
        <v>206485.30441435592</v>
      </c>
      <c r="L73" s="233">
        <f>187530</f>
        <v>187530</v>
      </c>
      <c r="M73" s="396">
        <f>I73-K73</f>
        <v>154846.69558564408</v>
      </c>
      <c r="N73" s="324" t="s">
        <v>163</v>
      </c>
      <c r="O73" s="283"/>
    </row>
    <row r="74" spans="1:15" ht="64.5" customHeight="1" outlineLevel="1" x14ac:dyDescent="0.25">
      <c r="A74" s="393">
        <v>42</v>
      </c>
      <c r="B74" s="400" t="s">
        <v>164</v>
      </c>
      <c r="C74" s="394" t="s">
        <v>165</v>
      </c>
      <c r="D74" s="380" t="s">
        <v>124</v>
      </c>
      <c r="E74" s="398" t="s">
        <v>352</v>
      </c>
      <c r="F74" s="233" t="s">
        <v>166</v>
      </c>
      <c r="G74" s="395" t="s">
        <v>35</v>
      </c>
      <c r="H74" s="233">
        <v>8000000</v>
      </c>
      <c r="I74" s="233">
        <v>80000</v>
      </c>
      <c r="J74" s="243" t="s">
        <v>50</v>
      </c>
      <c r="K74" s="233">
        <f>10909.09+3636.36+3636.36+1428217/392.76+1554016/427.35</f>
        <v>25454.571703756206</v>
      </c>
      <c r="L74" s="233">
        <f>105386.95+361.72+42360.02+4761284/392.76+5116448/427.35</f>
        <v>172203.81988818216</v>
      </c>
      <c r="M74" s="396">
        <f>I74-K74</f>
        <v>54545.428296243794</v>
      </c>
      <c r="N74" s="324" t="s">
        <v>167</v>
      </c>
    </row>
    <row r="75" spans="1:15" ht="53.25" customHeight="1" outlineLevel="1" x14ac:dyDescent="0.25">
      <c r="A75" s="393">
        <v>43</v>
      </c>
      <c r="B75" s="400" t="s">
        <v>164</v>
      </c>
      <c r="C75" s="394" t="s">
        <v>168</v>
      </c>
      <c r="D75" s="380" t="s">
        <v>132</v>
      </c>
      <c r="E75" s="398" t="s">
        <v>353</v>
      </c>
      <c r="F75" s="233" t="s">
        <v>166</v>
      </c>
      <c r="G75" s="395" t="s">
        <v>35</v>
      </c>
      <c r="H75" s="233">
        <v>8000000</v>
      </c>
      <c r="I75" s="233"/>
      <c r="J75" s="243" t="s">
        <v>50</v>
      </c>
      <c r="K75" s="233"/>
      <c r="L75" s="233"/>
      <c r="M75" s="396">
        <f>I75-K75</f>
        <v>0</v>
      </c>
      <c r="N75" s="324" t="s">
        <v>167</v>
      </c>
    </row>
    <row r="76" spans="1:15" ht="53.25" customHeight="1" outlineLevel="1" x14ac:dyDescent="0.25">
      <c r="A76" s="467">
        <v>44</v>
      </c>
      <c r="B76" s="474" t="s">
        <v>169</v>
      </c>
      <c r="C76" s="468" t="s">
        <v>271</v>
      </c>
      <c r="D76" s="380"/>
      <c r="E76" s="398" t="s">
        <v>354</v>
      </c>
      <c r="F76" s="468" t="s">
        <v>292</v>
      </c>
      <c r="G76" s="395" t="s">
        <v>35</v>
      </c>
      <c r="H76" s="233">
        <v>5500000</v>
      </c>
      <c r="I76" s="233">
        <f>1384955.78+492272.39</f>
        <v>1877228.17</v>
      </c>
      <c r="J76" s="243" t="s">
        <v>50</v>
      </c>
      <c r="K76" s="233"/>
      <c r="L76" s="233"/>
      <c r="M76" s="396">
        <f t="shared" ref="M76:M82" si="4">I76-K76</f>
        <v>1877228.17</v>
      </c>
      <c r="N76" s="324" t="s">
        <v>82</v>
      </c>
    </row>
    <row r="77" spans="1:15" outlineLevel="1" x14ac:dyDescent="0.25">
      <c r="A77" s="457"/>
      <c r="B77" s="475"/>
      <c r="C77" s="460"/>
      <c r="D77" s="380"/>
      <c r="E77" s="398"/>
      <c r="F77" s="460"/>
      <c r="G77" s="399" t="s">
        <v>3</v>
      </c>
      <c r="H77" s="233">
        <v>92733053.200000003</v>
      </c>
      <c r="I77" s="233">
        <f>92733053.2+20276600+1679251+16492341.9+20399976.4+42969092+26833268.5</f>
        <v>221383583</v>
      </c>
      <c r="J77" s="243"/>
      <c r="K77" s="233"/>
      <c r="L77" s="233"/>
      <c r="M77" s="396">
        <f t="shared" si="4"/>
        <v>221383583</v>
      </c>
      <c r="N77" s="324"/>
    </row>
    <row r="78" spans="1:15" ht="54" outlineLevel="1" x14ac:dyDescent="0.25">
      <c r="A78" s="393">
        <v>45</v>
      </c>
      <c r="B78" s="400" t="s">
        <v>170</v>
      </c>
      <c r="C78" s="394" t="s">
        <v>171</v>
      </c>
      <c r="D78" s="394" t="s">
        <v>119</v>
      </c>
      <c r="E78" s="398" t="s">
        <v>355</v>
      </c>
      <c r="F78" s="233" t="s">
        <v>172</v>
      </c>
      <c r="G78" s="399" t="s">
        <v>3</v>
      </c>
      <c r="H78" s="233">
        <v>249300000</v>
      </c>
      <c r="I78" s="233">
        <v>249300000</v>
      </c>
      <c r="J78" s="251">
        <v>1E-3</v>
      </c>
      <c r="K78" s="233">
        <v>42881892.899999999</v>
      </c>
      <c r="L78" s="233">
        <v>528153.5</v>
      </c>
      <c r="M78" s="396">
        <f t="shared" si="4"/>
        <v>206418107.09999999</v>
      </c>
      <c r="N78" s="324" t="s">
        <v>82</v>
      </c>
    </row>
    <row r="79" spans="1:15" ht="148.5" outlineLevel="1" x14ac:dyDescent="0.25">
      <c r="A79" s="393">
        <v>46</v>
      </c>
      <c r="B79" s="383" t="s">
        <v>113</v>
      </c>
      <c r="C79" s="371" t="s">
        <v>114</v>
      </c>
      <c r="D79" s="380" t="s">
        <v>107</v>
      </c>
      <c r="E79" s="388" t="s">
        <v>356</v>
      </c>
      <c r="F79" s="390" t="s">
        <v>115</v>
      </c>
      <c r="G79" s="395" t="s">
        <v>57</v>
      </c>
      <c r="H79" s="233">
        <v>4000000</v>
      </c>
      <c r="I79" s="233">
        <v>817235.07</v>
      </c>
      <c r="J79" s="243" t="s">
        <v>50</v>
      </c>
      <c r="K79" s="233">
        <v>465353.90575368248</v>
      </c>
      <c r="L79" s="233">
        <v>188098.17996449812</v>
      </c>
      <c r="M79" s="405">
        <f>I79-K79</f>
        <v>351881.16424631746</v>
      </c>
      <c r="N79" s="373" t="s">
        <v>116</v>
      </c>
    </row>
    <row r="80" spans="1:15" s="177" customFormat="1" ht="40.5" outlineLevel="1" x14ac:dyDescent="0.2">
      <c r="A80" s="393">
        <v>47</v>
      </c>
      <c r="B80" s="400" t="s">
        <v>173</v>
      </c>
      <c r="C80" s="394" t="s">
        <v>139</v>
      </c>
      <c r="D80" s="399" t="s">
        <v>107</v>
      </c>
      <c r="E80" s="399" t="s">
        <v>357</v>
      </c>
      <c r="F80" s="399" t="s">
        <v>307</v>
      </c>
      <c r="G80" s="399" t="s">
        <v>3</v>
      </c>
      <c r="H80" s="286">
        <v>50600000</v>
      </c>
      <c r="I80" s="233">
        <v>50600000</v>
      </c>
      <c r="J80" s="400" t="s">
        <v>174</v>
      </c>
      <c r="K80" s="233"/>
      <c r="L80" s="233"/>
      <c r="M80" s="286">
        <f t="shared" si="4"/>
        <v>50600000</v>
      </c>
      <c r="N80" s="324" t="s">
        <v>82</v>
      </c>
      <c r="O80" s="288"/>
    </row>
    <row r="81" spans="1:15" s="177" customFormat="1" ht="40.5" outlineLevel="1" x14ac:dyDescent="0.2">
      <c r="A81" s="393">
        <v>48</v>
      </c>
      <c r="B81" s="400" t="s">
        <v>173</v>
      </c>
      <c r="C81" s="394" t="s">
        <v>139</v>
      </c>
      <c r="D81" s="399" t="s">
        <v>107</v>
      </c>
      <c r="E81" s="399" t="s">
        <v>358</v>
      </c>
      <c r="F81" s="399" t="s">
        <v>308</v>
      </c>
      <c r="G81" s="394" t="s">
        <v>3</v>
      </c>
      <c r="H81" s="286">
        <v>1100000000</v>
      </c>
      <c r="I81" s="233">
        <v>1100000000</v>
      </c>
      <c r="J81" s="400" t="s">
        <v>174</v>
      </c>
      <c r="K81" s="233"/>
      <c r="L81" s="233"/>
      <c r="M81" s="286">
        <f t="shared" si="4"/>
        <v>1100000000</v>
      </c>
      <c r="N81" s="506" t="s">
        <v>274</v>
      </c>
      <c r="O81" s="288"/>
    </row>
    <row r="82" spans="1:15" s="177" customFormat="1" ht="40.5" outlineLevel="1" x14ac:dyDescent="0.2">
      <c r="A82" s="393">
        <v>49</v>
      </c>
      <c r="B82" s="400" t="s">
        <v>173</v>
      </c>
      <c r="C82" s="394" t="s">
        <v>139</v>
      </c>
      <c r="D82" s="399" t="s">
        <v>107</v>
      </c>
      <c r="E82" s="399" t="s">
        <v>359</v>
      </c>
      <c r="F82" s="399" t="s">
        <v>309</v>
      </c>
      <c r="G82" s="394" t="s">
        <v>3</v>
      </c>
      <c r="H82" s="286">
        <v>792386600</v>
      </c>
      <c r="I82" s="233">
        <v>791031693</v>
      </c>
      <c r="J82" s="400" t="s">
        <v>174</v>
      </c>
      <c r="K82" s="233"/>
      <c r="L82" s="233"/>
      <c r="M82" s="286">
        <f t="shared" si="4"/>
        <v>791031693</v>
      </c>
      <c r="N82" s="507"/>
      <c r="O82" s="288"/>
    </row>
    <row r="83" spans="1:15" s="177" customFormat="1" ht="40.5" outlineLevel="1" x14ac:dyDescent="0.2">
      <c r="A83" s="393">
        <v>50</v>
      </c>
      <c r="B83" s="400" t="s">
        <v>173</v>
      </c>
      <c r="C83" s="394" t="s">
        <v>139</v>
      </c>
      <c r="D83" s="399" t="s">
        <v>107</v>
      </c>
      <c r="E83" s="399" t="s">
        <v>360</v>
      </c>
      <c r="F83" s="399" t="s">
        <v>310</v>
      </c>
      <c r="G83" s="394" t="s">
        <v>3</v>
      </c>
      <c r="H83" s="286">
        <v>254672300</v>
      </c>
      <c r="I83" s="233">
        <f>168444408+75498000+5196300+5196300</f>
        <v>254335008</v>
      </c>
      <c r="J83" s="400" t="s">
        <v>174</v>
      </c>
      <c r="K83" s="233"/>
      <c r="L83" s="233"/>
      <c r="M83" s="286">
        <f>I83-K83</f>
        <v>254335008</v>
      </c>
      <c r="N83" s="508"/>
      <c r="O83" s="288"/>
    </row>
    <row r="84" spans="1:15" s="177" customFormat="1" ht="40.5" outlineLevel="1" x14ac:dyDescent="0.2">
      <c r="A84" s="393">
        <v>51</v>
      </c>
      <c r="B84" s="400" t="s">
        <v>175</v>
      </c>
      <c r="C84" s="394" t="s">
        <v>139</v>
      </c>
      <c r="D84" s="399" t="s">
        <v>119</v>
      </c>
      <c r="E84" s="399" t="s">
        <v>361</v>
      </c>
      <c r="F84" s="399" t="s">
        <v>176</v>
      </c>
      <c r="G84" s="394" t="s">
        <v>3</v>
      </c>
      <c r="H84" s="286">
        <v>88731015</v>
      </c>
      <c r="I84" s="233">
        <v>88731000</v>
      </c>
      <c r="J84" s="290">
        <v>8.5000000000000006E-2</v>
      </c>
      <c r="K84" s="233"/>
      <c r="L84" s="233">
        <v>1591081</v>
      </c>
      <c r="M84" s="286">
        <f t="shared" ref="M84:M96" si="5">I84-K84</f>
        <v>88731000</v>
      </c>
      <c r="N84" s="330" t="s">
        <v>177</v>
      </c>
      <c r="O84" s="288"/>
    </row>
    <row r="85" spans="1:15" s="177" customFormat="1" ht="40.5" outlineLevel="1" x14ac:dyDescent="0.2">
      <c r="A85" s="393">
        <v>52</v>
      </c>
      <c r="B85" s="400" t="s">
        <v>178</v>
      </c>
      <c r="C85" s="394" t="s">
        <v>179</v>
      </c>
      <c r="D85" s="399" t="s">
        <v>119</v>
      </c>
      <c r="E85" s="399" t="s">
        <v>362</v>
      </c>
      <c r="F85" s="399" t="s">
        <v>180</v>
      </c>
      <c r="G85" s="394" t="s">
        <v>3</v>
      </c>
      <c r="H85" s="286">
        <v>3840000000</v>
      </c>
      <c r="I85" s="233">
        <v>3840000000</v>
      </c>
      <c r="J85" s="292">
        <v>1.0000000000000001E-5</v>
      </c>
      <c r="K85" s="233">
        <v>3484641868</v>
      </c>
      <c r="L85" s="233">
        <v>37169</v>
      </c>
      <c r="M85" s="286">
        <f t="shared" si="5"/>
        <v>355358132</v>
      </c>
      <c r="N85" s="330" t="s">
        <v>82</v>
      </c>
      <c r="O85" s="288"/>
    </row>
    <row r="86" spans="1:15" ht="94.5" outlineLevel="1" x14ac:dyDescent="0.25">
      <c r="A86" s="393">
        <v>53</v>
      </c>
      <c r="B86" s="383" t="s">
        <v>181</v>
      </c>
      <c r="C86" s="371" t="s">
        <v>179</v>
      </c>
      <c r="D86" s="371" t="s">
        <v>149</v>
      </c>
      <c r="E86" s="394" t="s">
        <v>363</v>
      </c>
      <c r="F86" s="394" t="s">
        <v>182</v>
      </c>
      <c r="G86" s="394" t="s">
        <v>57</v>
      </c>
      <c r="H86" s="293">
        <v>8944984.0899999999</v>
      </c>
      <c r="I86" s="233">
        <v>8944984.0899999999</v>
      </c>
      <c r="J86" s="294">
        <v>7.4999999999999997E-3</v>
      </c>
      <c r="K86" s="233">
        <f>2425758.4+151609.9</f>
        <v>2577368.2999999998</v>
      </c>
      <c r="L86" s="233">
        <f>881276.03+25084.35+24380.12</f>
        <v>930740.5</v>
      </c>
      <c r="M86" s="396">
        <f t="shared" si="5"/>
        <v>6367615.79</v>
      </c>
      <c r="N86" s="373" t="s">
        <v>82</v>
      </c>
    </row>
    <row r="87" spans="1:15" ht="55.5" customHeight="1" outlineLevel="1" x14ac:dyDescent="0.25">
      <c r="A87" s="467">
        <v>54</v>
      </c>
      <c r="B87" s="474" t="s">
        <v>183</v>
      </c>
      <c r="C87" s="468" t="s">
        <v>179</v>
      </c>
      <c r="D87" s="468" t="s">
        <v>149</v>
      </c>
      <c r="E87" s="468" t="s">
        <v>364</v>
      </c>
      <c r="F87" s="394" t="s">
        <v>184</v>
      </c>
      <c r="G87" s="394" t="s">
        <v>3</v>
      </c>
      <c r="H87" s="293">
        <v>93025000</v>
      </c>
      <c r="I87" s="233">
        <v>93025000</v>
      </c>
      <c r="J87" s="294">
        <v>7.4999999999999997E-3</v>
      </c>
      <c r="K87" s="233">
        <f>13953750+930250</f>
        <v>14884000</v>
      </c>
      <c r="L87" s="233">
        <v>294653.5</v>
      </c>
      <c r="M87" s="396">
        <f t="shared" si="5"/>
        <v>78141000</v>
      </c>
      <c r="N87" s="465" t="s">
        <v>82</v>
      </c>
    </row>
    <row r="88" spans="1:15" ht="55.5" customHeight="1" outlineLevel="1" x14ac:dyDescent="0.25">
      <c r="A88" s="457"/>
      <c r="B88" s="475"/>
      <c r="C88" s="460"/>
      <c r="D88" s="460"/>
      <c r="E88" s="460"/>
      <c r="F88" s="394" t="s">
        <v>184</v>
      </c>
      <c r="G88" s="394" t="s">
        <v>57</v>
      </c>
      <c r="H88" s="293">
        <v>5217725</v>
      </c>
      <c r="I88" s="233">
        <v>5217725</v>
      </c>
      <c r="J88" s="294">
        <v>7.4999999999999997E-3</v>
      </c>
      <c r="K88" s="233">
        <f>782658.5+52177.25</f>
        <v>834835.75</v>
      </c>
      <c r="L88" s="233">
        <v>16585.93</v>
      </c>
      <c r="M88" s="396">
        <f t="shared" si="5"/>
        <v>4382889.25</v>
      </c>
      <c r="N88" s="466"/>
    </row>
    <row r="89" spans="1:15" ht="94.5" outlineLevel="1" x14ac:dyDescent="0.25">
      <c r="A89" s="393">
        <v>55</v>
      </c>
      <c r="B89" s="383" t="s">
        <v>185</v>
      </c>
      <c r="C89" s="371" t="s">
        <v>179</v>
      </c>
      <c r="D89" s="371" t="s">
        <v>149</v>
      </c>
      <c r="E89" s="394" t="s">
        <v>365</v>
      </c>
      <c r="F89" s="394" t="s">
        <v>186</v>
      </c>
      <c r="G89" s="394" t="s">
        <v>57</v>
      </c>
      <c r="H89" s="293">
        <v>1989000</v>
      </c>
      <c r="I89" s="233">
        <v>1989000</v>
      </c>
      <c r="J89" s="294">
        <v>7.4999999999999997E-3</v>
      </c>
      <c r="K89" s="233">
        <f>337118.7+33711.86</f>
        <v>370830.56</v>
      </c>
      <c r="L89" s="233">
        <v>6177.58</v>
      </c>
      <c r="M89" s="396">
        <f t="shared" si="5"/>
        <v>1618169.44</v>
      </c>
      <c r="N89" s="373" t="s">
        <v>82</v>
      </c>
    </row>
    <row r="90" spans="1:15" ht="108" outlineLevel="1" x14ac:dyDescent="0.25">
      <c r="A90" s="393">
        <v>56</v>
      </c>
      <c r="B90" s="383" t="s">
        <v>311</v>
      </c>
      <c r="C90" s="371" t="s">
        <v>312</v>
      </c>
      <c r="D90" s="371" t="s">
        <v>149</v>
      </c>
      <c r="E90" s="371" t="s">
        <v>366</v>
      </c>
      <c r="F90" s="371" t="s">
        <v>313</v>
      </c>
      <c r="G90" s="394" t="s">
        <v>3</v>
      </c>
      <c r="H90" s="293">
        <v>2047212646</v>
      </c>
      <c r="I90" s="390">
        <v>2047212646</v>
      </c>
      <c r="J90" s="294">
        <v>0.02</v>
      </c>
      <c r="K90" s="233">
        <v>0</v>
      </c>
      <c r="L90" s="233">
        <f>88017538.4+20640391</f>
        <v>108657929.40000001</v>
      </c>
      <c r="M90" s="396">
        <v>2047212646</v>
      </c>
      <c r="N90" s="373" t="s">
        <v>82</v>
      </c>
    </row>
    <row r="91" spans="1:15" ht="256.5" outlineLevel="1" x14ac:dyDescent="0.25">
      <c r="A91" s="381">
        <v>57</v>
      </c>
      <c r="B91" s="383" t="s">
        <v>187</v>
      </c>
      <c r="C91" s="371" t="s">
        <v>188</v>
      </c>
      <c r="D91" s="371" t="s">
        <v>99</v>
      </c>
      <c r="E91" s="371" t="s">
        <v>367</v>
      </c>
      <c r="F91" s="371" t="s">
        <v>189</v>
      </c>
      <c r="G91" s="394" t="s">
        <v>57</v>
      </c>
      <c r="H91" s="293">
        <v>2217000</v>
      </c>
      <c r="I91" s="293">
        <v>2217000</v>
      </c>
      <c r="J91" s="295">
        <v>0.02</v>
      </c>
      <c r="K91" s="233">
        <f>1656550.78+18166.04+7000680/387.28+18122.86+18122.86</f>
        <v>1729039.0737740139</v>
      </c>
      <c r="L91" s="233">
        <f>108750.120345235+1633.42+698950/387.28+1809.39+1778.61</f>
        <v>115776.30692238848</v>
      </c>
      <c r="M91" s="396">
        <v>1010837.1</v>
      </c>
      <c r="N91" s="373" t="s">
        <v>190</v>
      </c>
    </row>
    <row r="92" spans="1:15" ht="48.75" customHeight="1" outlineLevel="1" x14ac:dyDescent="0.25">
      <c r="A92" s="393">
        <v>58</v>
      </c>
      <c r="B92" s="400" t="s">
        <v>300</v>
      </c>
      <c r="C92" s="394" t="s">
        <v>301</v>
      </c>
      <c r="D92" s="394" t="s">
        <v>302</v>
      </c>
      <c r="E92" s="394" t="s">
        <v>368</v>
      </c>
      <c r="F92" s="371" t="s">
        <v>303</v>
      </c>
      <c r="G92" s="394" t="s">
        <v>35</v>
      </c>
      <c r="H92" s="293">
        <f>4199559.68+12720691.2+1113060.48+1966688.64</f>
        <v>20000000</v>
      </c>
      <c r="I92" s="293">
        <f>H92</f>
        <v>20000000</v>
      </c>
      <c r="J92" s="295" t="s">
        <v>304</v>
      </c>
      <c r="K92" s="233"/>
      <c r="L92" s="296">
        <f>77849.88+103888.1</f>
        <v>181737.98</v>
      </c>
      <c r="M92" s="396">
        <f>I92-K92</f>
        <v>20000000</v>
      </c>
      <c r="N92" s="373" t="s">
        <v>305</v>
      </c>
    </row>
    <row r="93" spans="1:15" s="177" customFormat="1" ht="38.25" customHeight="1" outlineLevel="1" x14ac:dyDescent="0.2">
      <c r="A93" s="505">
        <v>59</v>
      </c>
      <c r="B93" s="486" t="s">
        <v>191</v>
      </c>
      <c r="C93" s="476" t="s">
        <v>192</v>
      </c>
      <c r="D93" s="476"/>
      <c r="E93" s="477" t="s">
        <v>369</v>
      </c>
      <c r="F93" s="470" t="s">
        <v>193</v>
      </c>
      <c r="G93" s="395" t="s">
        <v>57</v>
      </c>
      <c r="H93" s="286">
        <v>237758.39</v>
      </c>
      <c r="I93" s="233">
        <v>237758.39</v>
      </c>
      <c r="J93" s="251"/>
      <c r="K93" s="233"/>
      <c r="L93" s="233"/>
      <c r="M93" s="286">
        <f>I93-K93</f>
        <v>237758.39</v>
      </c>
      <c r="N93" s="465" t="s">
        <v>82</v>
      </c>
      <c r="O93" s="288"/>
    </row>
    <row r="94" spans="1:15" s="177" customFormat="1" ht="45" customHeight="1" outlineLevel="1" x14ac:dyDescent="0.2">
      <c r="A94" s="505"/>
      <c r="B94" s="475"/>
      <c r="C94" s="460"/>
      <c r="D94" s="460"/>
      <c r="E94" s="461"/>
      <c r="F94" s="461"/>
      <c r="G94" s="266" t="s">
        <v>3</v>
      </c>
      <c r="H94" s="298">
        <v>28883700</v>
      </c>
      <c r="I94" s="233">
        <v>28883700</v>
      </c>
      <c r="J94" s="392"/>
      <c r="K94" s="233"/>
      <c r="L94" s="233"/>
      <c r="M94" s="286">
        <f>I94-K94</f>
        <v>28883700</v>
      </c>
      <c r="N94" s="466"/>
      <c r="O94" s="288"/>
    </row>
    <row r="95" spans="1:15" s="284" customFormat="1" ht="40.5" customHeight="1" outlineLevel="1" x14ac:dyDescent="0.25">
      <c r="A95" s="381">
        <v>60</v>
      </c>
      <c r="B95" s="383" t="s">
        <v>117</v>
      </c>
      <c r="C95" s="371" t="s">
        <v>118</v>
      </c>
      <c r="D95" s="371" t="s">
        <v>119</v>
      </c>
      <c r="E95" s="371" t="s">
        <v>370</v>
      </c>
      <c r="F95" s="371" t="s">
        <v>120</v>
      </c>
      <c r="G95" s="371" t="s">
        <v>3</v>
      </c>
      <c r="H95" s="390">
        <v>303444194</v>
      </c>
      <c r="I95" s="233">
        <v>303444194</v>
      </c>
      <c r="J95" s="392">
        <v>0</v>
      </c>
      <c r="K95" s="233"/>
      <c r="L95" s="233"/>
      <c r="M95" s="405">
        <f>I95-K95</f>
        <v>303444194</v>
      </c>
      <c r="N95" s="373" t="s">
        <v>82</v>
      </c>
      <c r="O95" s="283"/>
    </row>
    <row r="96" spans="1:15" s="284" customFormat="1" ht="47.25" customHeight="1" outlineLevel="1" x14ac:dyDescent="0.25">
      <c r="A96" s="393">
        <v>61</v>
      </c>
      <c r="B96" s="394" t="s">
        <v>194</v>
      </c>
      <c r="C96" s="394" t="s">
        <v>195</v>
      </c>
      <c r="D96" s="394" t="s">
        <v>196</v>
      </c>
      <c r="E96" s="282" t="s">
        <v>371</v>
      </c>
      <c r="F96" s="394" t="s">
        <v>197</v>
      </c>
      <c r="G96" s="394" t="s">
        <v>57</v>
      </c>
      <c r="H96" s="233">
        <v>10000000</v>
      </c>
      <c r="I96" s="233">
        <v>10000000</v>
      </c>
      <c r="J96" s="243" t="s">
        <v>198</v>
      </c>
      <c r="K96" s="233">
        <v>2553676.86</v>
      </c>
      <c r="L96" s="233">
        <f>3533579.15874841+18816925/512.41+16022937.4/426.85+37537.63+37130+36723+37538+'[3]15,08,20 գործող'!$I$55</f>
        <v>3794713.4704706864</v>
      </c>
      <c r="M96" s="396">
        <f t="shared" si="5"/>
        <v>7446323.1400000006</v>
      </c>
      <c r="N96" s="324" t="s">
        <v>199</v>
      </c>
      <c r="O96" s="283"/>
    </row>
    <row r="97" spans="1:16" s="284" customFormat="1" ht="51" customHeight="1" outlineLevel="1" thickBot="1" x14ac:dyDescent="0.3">
      <c r="A97" s="393">
        <v>62</v>
      </c>
      <c r="B97" s="394" t="s">
        <v>194</v>
      </c>
      <c r="C97" s="394" t="s">
        <v>139</v>
      </c>
      <c r="D97" s="394" t="s">
        <v>196</v>
      </c>
      <c r="E97" s="282" t="s">
        <v>372</v>
      </c>
      <c r="F97" s="394" t="s">
        <v>200</v>
      </c>
      <c r="G97" s="394" t="s">
        <v>3</v>
      </c>
      <c r="H97" s="233">
        <v>8000000000</v>
      </c>
      <c r="I97" s="233">
        <v>8000000000</v>
      </c>
      <c r="J97" s="243" t="s">
        <v>201</v>
      </c>
      <c r="K97" s="233"/>
      <c r="L97" s="233">
        <f>3496438357+79342466+80657534+79342466+79342466+1315069</f>
        <v>3816438358</v>
      </c>
      <c r="M97" s="396">
        <f>I97-K97</f>
        <v>8000000000</v>
      </c>
      <c r="N97" s="324" t="s">
        <v>202</v>
      </c>
      <c r="O97" s="283"/>
    </row>
    <row r="98" spans="1:16" s="202" customFormat="1" ht="24.75" customHeight="1" x14ac:dyDescent="0.25">
      <c r="A98" s="492" t="s">
        <v>203</v>
      </c>
      <c r="B98" s="493"/>
      <c r="C98" s="493"/>
      <c r="D98" s="496" t="s">
        <v>35</v>
      </c>
      <c r="E98" s="496"/>
      <c r="F98" s="496"/>
      <c r="G98" s="199"/>
      <c r="H98" s="194">
        <f>SUMIF($G$73:$G$97,D98,$H$73:$H$97)</f>
        <v>41500000</v>
      </c>
      <c r="I98" s="194">
        <f>SUMIF($G$73:$G$97,D98,$I$73:$I$97)</f>
        <v>21957228.170000002</v>
      </c>
      <c r="J98" s="194"/>
      <c r="K98" s="194">
        <f>SUMIF($G$73:$G$97,D98,$K$73:$K$97)</f>
        <v>25454.571703756206</v>
      </c>
      <c r="L98" s="194">
        <f>SUMIF($G$73:$G$97,D98,$L$73:$L$97)</f>
        <v>353941.7998881822</v>
      </c>
      <c r="M98" s="194">
        <f>SUMIF($G$73:$G$97,D98,$M$73:$M$97)</f>
        <v>21931773.598296244</v>
      </c>
      <c r="N98" s="326"/>
      <c r="O98" s="245"/>
    </row>
    <row r="99" spans="1:16" s="202" customFormat="1" ht="39" customHeight="1" x14ac:dyDescent="0.25">
      <c r="A99" s="494"/>
      <c r="B99" s="495"/>
      <c r="C99" s="495"/>
      <c r="D99" s="497" t="s">
        <v>3</v>
      </c>
      <c r="E99" s="497"/>
      <c r="F99" s="497"/>
      <c r="G99" s="195"/>
      <c r="H99" s="196">
        <f>SUMIF($G$73:$G$97,D99,$H$73:$H$97)</f>
        <v>16940988508.200001</v>
      </c>
      <c r="I99" s="196">
        <f>SUMIF($G$73:$G$97,D99,$I$73:$I$97)</f>
        <v>17067946824</v>
      </c>
      <c r="J99" s="196"/>
      <c r="K99" s="196">
        <f>SUMIF($G$73:$G$97,D99,$K$73:$K$97)</f>
        <v>3542407760.9000001</v>
      </c>
      <c r="L99" s="196">
        <f>SUMIF($G$73:$G$97,D99,$L$73:$L$97)</f>
        <v>3927547344.4000001</v>
      </c>
      <c r="M99" s="196">
        <f>SUMIF($G$73:$G$97,D99,$M$73:$M$97)</f>
        <v>13525539063.1</v>
      </c>
      <c r="N99" s="327"/>
      <c r="O99" s="245"/>
    </row>
    <row r="100" spans="1:16" s="202" customFormat="1" ht="39" customHeight="1" x14ac:dyDescent="0.25">
      <c r="A100" s="494"/>
      <c r="B100" s="495"/>
      <c r="C100" s="495"/>
      <c r="D100" s="497" t="s">
        <v>57</v>
      </c>
      <c r="E100" s="497"/>
      <c r="F100" s="497"/>
      <c r="G100" s="195"/>
      <c r="H100" s="196">
        <f>SUMIF($G$73:$G$97,D100,$H$73:$H$97)</f>
        <v>32967799.48</v>
      </c>
      <c r="I100" s="196">
        <f>SUMIF($G$73:$G$97,D100,$I$73:$I$97)</f>
        <v>29785034.550000001</v>
      </c>
      <c r="J100" s="196"/>
      <c r="K100" s="196">
        <f>SUMIF($G$73:$G$97,D100,$K$73:$K$97)</f>
        <v>8737589.7539420519</v>
      </c>
      <c r="L100" s="196">
        <f>SUMIF($G$73:$G$97,D100,$L$73:$L$97)</f>
        <v>5239621.9673575731</v>
      </c>
      <c r="M100" s="196">
        <f>SUMIF($G$73:$G$97,D100,$M$73:$M$97)</f>
        <v>21570320.969831962</v>
      </c>
      <c r="N100" s="327"/>
      <c r="O100" s="245"/>
    </row>
    <row r="101" spans="1:16" s="202" customFormat="1" ht="39" customHeight="1" thickBot="1" x14ac:dyDescent="0.3">
      <c r="A101" s="502"/>
      <c r="B101" s="503"/>
      <c r="C101" s="503"/>
      <c r="D101" s="504" t="s">
        <v>77</v>
      </c>
      <c r="E101" s="504"/>
      <c r="F101" s="504"/>
      <c r="G101" s="197"/>
      <c r="H101" s="198">
        <f>SUMIF($G$73:$G$97,D101,$H$73:$H$97)</f>
        <v>0</v>
      </c>
      <c r="I101" s="198">
        <f>SUMIF($G$73:$G$97,D101,$I$73:$I$97)</f>
        <v>0</v>
      </c>
      <c r="J101" s="198"/>
      <c r="K101" s="198">
        <f>SUMIF($G$73:$G$97,D101,$K$73:$K$97)</f>
        <v>0</v>
      </c>
      <c r="L101" s="198">
        <f>SUMIF($G$73:$G$97,D101,$L$73:$L$97)</f>
        <v>0</v>
      </c>
      <c r="M101" s="198">
        <f>SUMIF($G$73:$G$97,D101,$M$73:$M$97)</f>
        <v>0</v>
      </c>
      <c r="N101" s="329"/>
      <c r="O101" s="245"/>
    </row>
    <row r="102" spans="1:16" s="177" customFormat="1" ht="156.75" customHeight="1" outlineLevel="1" x14ac:dyDescent="0.2">
      <c r="A102" s="393">
        <v>63</v>
      </c>
      <c r="B102" s="371" t="s">
        <v>0</v>
      </c>
      <c r="C102" s="371" t="s">
        <v>1</v>
      </c>
      <c r="D102" s="371"/>
      <c r="E102" s="380" t="s">
        <v>373</v>
      </c>
      <c r="F102" s="380" t="s">
        <v>204</v>
      </c>
      <c r="G102" s="394" t="s">
        <v>3</v>
      </c>
      <c r="H102" s="298">
        <f>3047000000+3000000000</f>
        <v>6047000000</v>
      </c>
      <c r="I102" s="253">
        <v>6000000000</v>
      </c>
      <c r="J102" s="392"/>
      <c r="K102" s="253">
        <f>4439902959+260956717.5+995441267.7+73262192.2+103703140+88648827.6+23704487.9</f>
        <v>5985619591.8999996</v>
      </c>
      <c r="L102" s="253"/>
      <c r="M102" s="390">
        <f>I102-K102</f>
        <v>14380408.100000381</v>
      </c>
      <c r="N102" s="384" t="s">
        <v>82</v>
      </c>
      <c r="O102" s="288"/>
    </row>
    <row r="103" spans="1:16" s="177" customFormat="1" ht="135" outlineLevel="1" x14ac:dyDescent="0.2">
      <c r="A103" s="393">
        <v>64</v>
      </c>
      <c r="B103" s="371" t="s">
        <v>4</v>
      </c>
      <c r="C103" s="371" t="s">
        <v>5</v>
      </c>
      <c r="D103" s="371"/>
      <c r="E103" s="380"/>
      <c r="F103" s="380" t="s">
        <v>389</v>
      </c>
      <c r="G103" s="394" t="s">
        <v>3</v>
      </c>
      <c r="H103" s="233">
        <f>2000000000+7300000000</f>
        <v>9300000000</v>
      </c>
      <c r="I103" s="253">
        <f>9024295000</f>
        <v>9024295000</v>
      </c>
      <c r="J103" s="392" t="s">
        <v>475</v>
      </c>
      <c r="K103" s="390">
        <f>140537000+5009140+4849511288.30001+293553946.6+277518975.4+298090130.9+261563425.9+273040297.9+246795505.7+231942835.5+200000+276040115.2+210499563.5+221320560.6+300000+193123482.7+199186343.7+185073611.4+184150969.4+170369357.1+151027787.7+90490766.8+32284422.2+11509122.4</f>
        <v>8803138648.9000072</v>
      </c>
      <c r="L103" s="390">
        <f>34040214.6+16030636.8+1797857.1+7375602.5+3983531.1+11814600.3+22459610.6+9668538.8+11671711.4+6908264.6+1329981.6</f>
        <v>127080549.39999999</v>
      </c>
      <c r="M103" s="390">
        <f>I103-K103</f>
        <v>221156351.09999275</v>
      </c>
      <c r="N103" s="384" t="s">
        <v>82</v>
      </c>
      <c r="O103" s="288"/>
    </row>
    <row r="104" spans="1:16" s="177" customFormat="1" ht="175.5" outlineLevel="1" x14ac:dyDescent="0.2">
      <c r="A104" s="393">
        <v>65</v>
      </c>
      <c r="B104" s="371" t="s">
        <v>4</v>
      </c>
      <c r="C104" s="371" t="s">
        <v>7</v>
      </c>
      <c r="D104" s="371"/>
      <c r="E104" s="380" t="s">
        <v>374</v>
      </c>
      <c r="F104" s="380" t="s">
        <v>8</v>
      </c>
      <c r="G104" s="394" t="s">
        <v>3</v>
      </c>
      <c r="H104" s="233">
        <v>562500000</v>
      </c>
      <c r="I104" s="253">
        <v>562500000</v>
      </c>
      <c r="J104" s="392"/>
      <c r="K104" s="253"/>
      <c r="L104" s="253"/>
      <c r="M104" s="405">
        <f t="shared" ref="M104:M124" si="6">I104-K104</f>
        <v>562500000</v>
      </c>
      <c r="N104" s="384" t="s">
        <v>82</v>
      </c>
      <c r="O104" s="288"/>
    </row>
    <row r="105" spans="1:16" s="177" customFormat="1" ht="147" customHeight="1" outlineLevel="1" x14ac:dyDescent="0.2">
      <c r="A105" s="393">
        <v>66</v>
      </c>
      <c r="B105" s="468" t="s">
        <v>0</v>
      </c>
      <c r="C105" s="468" t="s">
        <v>9</v>
      </c>
      <c r="D105" s="371"/>
      <c r="E105" s="380" t="s">
        <v>10</v>
      </c>
      <c r="F105" s="380" t="s">
        <v>11</v>
      </c>
      <c r="G105" s="394" t="s">
        <v>3</v>
      </c>
      <c r="H105" s="233">
        <v>2000000000</v>
      </c>
      <c r="I105" s="253">
        <v>2000000000</v>
      </c>
      <c r="J105" s="251">
        <v>2.7E-2</v>
      </c>
      <c r="K105" s="253"/>
      <c r="L105" s="396">
        <f>68417269.8+13462993.2+49643.9+1421840.5+38566246.5+491534.9+1119195.4+178355</f>
        <v>123707079.20000002</v>
      </c>
      <c r="M105" s="396">
        <f t="shared" si="6"/>
        <v>2000000000</v>
      </c>
      <c r="N105" s="384" t="s">
        <v>82</v>
      </c>
      <c r="O105" s="288"/>
    </row>
    <row r="106" spans="1:16" s="177" customFormat="1" ht="144.75" customHeight="1" outlineLevel="1" x14ac:dyDescent="0.2">
      <c r="A106" s="393">
        <v>67</v>
      </c>
      <c r="B106" s="476"/>
      <c r="C106" s="476"/>
      <c r="D106" s="407"/>
      <c r="E106" s="380" t="s">
        <v>12</v>
      </c>
      <c r="F106" s="380" t="s">
        <v>13</v>
      </c>
      <c r="G106" s="377" t="s">
        <v>3</v>
      </c>
      <c r="H106" s="233">
        <v>2000000000</v>
      </c>
      <c r="I106" s="253">
        <v>2000000000</v>
      </c>
      <c r="J106" s="302">
        <v>5.7000000000000002E-2</v>
      </c>
      <c r="K106" s="253"/>
      <c r="L106" s="253">
        <f>153819379.6+28421448.8+780809.1+528470.5+2614769.3+283790.1+5159868.8</f>
        <v>191608536.20000002</v>
      </c>
      <c r="M106" s="396">
        <f t="shared" si="6"/>
        <v>2000000000</v>
      </c>
      <c r="N106" s="384" t="s">
        <v>82</v>
      </c>
      <c r="O106" s="288"/>
    </row>
    <row r="107" spans="1:16" s="177" customFormat="1" ht="90.75" customHeight="1" outlineLevel="1" thickBot="1" x14ac:dyDescent="0.25">
      <c r="A107" s="303">
        <v>68</v>
      </c>
      <c r="B107" s="517"/>
      <c r="C107" s="517"/>
      <c r="D107" s="304"/>
      <c r="E107" s="380" t="s">
        <v>390</v>
      </c>
      <c r="F107" s="306" t="s">
        <v>206</v>
      </c>
      <c r="G107" s="386" t="s">
        <v>3</v>
      </c>
      <c r="H107" s="308">
        <v>5000000000</v>
      </c>
      <c r="I107" s="309">
        <v>5000000000</v>
      </c>
      <c r="J107" s="310">
        <v>2.7E-2</v>
      </c>
      <c r="K107" s="309"/>
      <c r="L107" s="309">
        <f>34209157.5+76580313.4+83507353.3+1840160.7</f>
        <v>196136984.89999998</v>
      </c>
      <c r="M107" s="311">
        <f t="shared" si="6"/>
        <v>5000000000</v>
      </c>
      <c r="N107" s="384" t="s">
        <v>82</v>
      </c>
      <c r="O107" s="288"/>
    </row>
    <row r="108" spans="1:16" s="202" customFormat="1" ht="30" customHeight="1" x14ac:dyDescent="0.25">
      <c r="A108" s="509" t="s">
        <v>207</v>
      </c>
      <c r="B108" s="510"/>
      <c r="C108" s="510"/>
      <c r="D108" s="511" t="s">
        <v>35</v>
      </c>
      <c r="E108" s="512"/>
      <c r="F108" s="513"/>
      <c r="G108" s="200"/>
      <c r="H108" s="201">
        <f>SUMIF($G$102:$G$107,D108,$H$102:$H$107)</f>
        <v>0</v>
      </c>
      <c r="I108" s="201">
        <f>SUMIF($G$102:$G$107,D108,$I$102:$I$107)</f>
        <v>0</v>
      </c>
      <c r="J108" s="201"/>
      <c r="K108" s="201">
        <f>SUMIF($G$102:$G$107,D108,$K$102:$K$107)</f>
        <v>0</v>
      </c>
      <c r="L108" s="201">
        <f>SUMIF($G$102:$G$107,D108,$L$102:$L$107)</f>
        <v>0</v>
      </c>
      <c r="M108" s="201">
        <f>SUMIF($G$102:$G$107,D108,$M$102:$M$107)</f>
        <v>0</v>
      </c>
      <c r="N108" s="326"/>
      <c r="O108" s="288"/>
      <c r="P108" s="177"/>
    </row>
    <row r="109" spans="1:16" s="202" customFormat="1" ht="27" customHeight="1" x14ac:dyDescent="0.25">
      <c r="A109" s="494"/>
      <c r="B109" s="495"/>
      <c r="C109" s="495"/>
      <c r="D109" s="514" t="s">
        <v>3</v>
      </c>
      <c r="E109" s="515"/>
      <c r="F109" s="516"/>
      <c r="G109" s="195"/>
      <c r="H109" s="201">
        <f>SUMIF($G$102:$G$107,D109,$H$102:$H$107)</f>
        <v>24909500000</v>
      </c>
      <c r="I109" s="196">
        <f>SUMIF($G$102:$G$107,D109,$I$102:$I$107)</f>
        <v>24586795000</v>
      </c>
      <c r="J109" s="196"/>
      <c r="K109" s="196">
        <f>SUMIF($G$102:$G$107,D109,$K$102:$K$107)</f>
        <v>14788758240.800007</v>
      </c>
      <c r="L109" s="196">
        <f>SUMIF($G$102:$G$107,D109,$L$102:$L$107)</f>
        <v>638533149.70000005</v>
      </c>
      <c r="M109" s="196">
        <f>SUMIF($G$102:$G$107,D109,$M$102:$M$107)</f>
        <v>9798036759.1999931</v>
      </c>
      <c r="N109" s="327"/>
      <c r="O109" s="288"/>
      <c r="P109" s="177"/>
    </row>
    <row r="110" spans="1:16" s="202" customFormat="1" ht="28.5" customHeight="1" x14ac:dyDescent="0.25">
      <c r="A110" s="494"/>
      <c r="B110" s="495"/>
      <c r="C110" s="495"/>
      <c r="D110" s="514" t="s">
        <v>57</v>
      </c>
      <c r="E110" s="515"/>
      <c r="F110" s="516"/>
      <c r="G110" s="195"/>
      <c r="H110" s="201">
        <f>SUMIF($G$102:$G$107,D110,$H$102:$H$107)</f>
        <v>0</v>
      </c>
      <c r="I110" s="196">
        <f>SUMIF($G$102:$G$107,D110,$I$102:$I$107)</f>
        <v>0</v>
      </c>
      <c r="J110" s="196"/>
      <c r="K110" s="196">
        <f>SUMIF($G$102:$G$107,D110,$K$102:$K$107)</f>
        <v>0</v>
      </c>
      <c r="L110" s="196">
        <f>SUMIF($G$102:$G$107,D110,$L$102:$L$107)</f>
        <v>0</v>
      </c>
      <c r="M110" s="196">
        <f>SUMIF($G$102:$G$107,D110,$M$102:$M$107)</f>
        <v>0</v>
      </c>
      <c r="N110" s="327"/>
      <c r="O110" s="245"/>
    </row>
    <row r="111" spans="1:16" s="202" customFormat="1" ht="30" customHeight="1" thickBot="1" x14ac:dyDescent="0.3">
      <c r="A111" s="502"/>
      <c r="B111" s="503"/>
      <c r="C111" s="503"/>
      <c r="D111" s="499" t="s">
        <v>77</v>
      </c>
      <c r="E111" s="500"/>
      <c r="F111" s="501"/>
      <c r="G111" s="197"/>
      <c r="H111" s="198">
        <f>SUMIF($G$102:$G$107,D111,$H$102:$H$107)</f>
        <v>0</v>
      </c>
      <c r="I111" s="198">
        <f>SUMIF($G$102:$G$107,D111,$I$102:$I$107)</f>
        <v>0</v>
      </c>
      <c r="J111" s="198"/>
      <c r="K111" s="198">
        <f>SUMIF($G$102:$G$107,D111,$K$102:$K$107)</f>
        <v>0</v>
      </c>
      <c r="L111" s="198">
        <f>SUMIF($G$102:$G$107,D111,$L$102:$L$107)</f>
        <v>0</v>
      </c>
      <c r="M111" s="198">
        <f>SUMIF($G$102:$G$107,D111,$M$102:$M$107)</f>
        <v>0</v>
      </c>
      <c r="N111" s="329"/>
      <c r="O111" s="245"/>
    </row>
    <row r="112" spans="1:16" s="177" customFormat="1" ht="121.5" outlineLevel="1" x14ac:dyDescent="0.2">
      <c r="A112" s="382">
        <v>69</v>
      </c>
      <c r="B112" s="375" t="s">
        <v>208</v>
      </c>
      <c r="C112" s="375" t="s">
        <v>209</v>
      </c>
      <c r="D112" s="371"/>
      <c r="E112" s="380" t="s">
        <v>375</v>
      </c>
      <c r="F112" s="380" t="s">
        <v>210</v>
      </c>
      <c r="G112" s="394" t="s">
        <v>3</v>
      </c>
      <c r="H112" s="313">
        <v>574491741</v>
      </c>
      <c r="I112" s="313">
        <v>574491741</v>
      </c>
      <c r="J112" s="403">
        <v>1E-4</v>
      </c>
      <c r="K112" s="313">
        <f>132575017.2</f>
        <v>132575017.2</v>
      </c>
      <c r="L112" s="313">
        <f>85623+14165+39966.7</f>
        <v>139754.70000000001</v>
      </c>
      <c r="M112" s="406">
        <f t="shared" si="6"/>
        <v>441916723.80000001</v>
      </c>
      <c r="N112" s="385" t="s">
        <v>211</v>
      </c>
      <c r="O112" s="288"/>
    </row>
    <row r="113" spans="1:15" s="177" customFormat="1" ht="121.5" outlineLevel="1" x14ac:dyDescent="0.2">
      <c r="A113" s="393">
        <v>70</v>
      </c>
      <c r="B113" s="383" t="s">
        <v>212</v>
      </c>
      <c r="C113" s="383" t="s">
        <v>209</v>
      </c>
      <c r="D113" s="371"/>
      <c r="E113" s="380" t="s">
        <v>376</v>
      </c>
      <c r="F113" s="380" t="s">
        <v>213</v>
      </c>
      <c r="G113" s="394" t="s">
        <v>3</v>
      </c>
      <c r="H113" s="298">
        <v>98612371</v>
      </c>
      <c r="I113" s="286">
        <v>98612371</v>
      </c>
      <c r="J113" s="387">
        <v>1E-4</v>
      </c>
      <c r="K113" s="286"/>
      <c r="L113" s="286">
        <v>17060</v>
      </c>
      <c r="M113" s="405">
        <f t="shared" si="6"/>
        <v>98612371</v>
      </c>
      <c r="N113" s="384" t="s">
        <v>214</v>
      </c>
      <c r="O113" s="288"/>
    </row>
    <row r="114" spans="1:15" s="177" customFormat="1" ht="121.5" outlineLevel="1" x14ac:dyDescent="0.2">
      <c r="A114" s="393">
        <v>71</v>
      </c>
      <c r="B114" s="383" t="s">
        <v>215</v>
      </c>
      <c r="C114" s="383" t="s">
        <v>209</v>
      </c>
      <c r="D114" s="371"/>
      <c r="E114" s="380" t="s">
        <v>377</v>
      </c>
      <c r="F114" s="380" t="s">
        <v>216</v>
      </c>
      <c r="G114" s="394" t="s">
        <v>3</v>
      </c>
      <c r="H114" s="298">
        <v>60132468</v>
      </c>
      <c r="I114" s="286">
        <v>60132468</v>
      </c>
      <c r="J114" s="387">
        <v>1E-4</v>
      </c>
      <c r="K114" s="286">
        <f>4625574.5+4625574.5+4625574.5+4625574.5+4625575+4625575</f>
        <v>27753448</v>
      </c>
      <c r="L114" s="286">
        <f>10367+1511.2+1400+1500+1500+1000</f>
        <v>17278.2</v>
      </c>
      <c r="M114" s="405">
        <f t="shared" si="6"/>
        <v>32379020</v>
      </c>
      <c r="N114" s="384" t="s">
        <v>217</v>
      </c>
      <c r="O114" s="409"/>
    </row>
    <row r="115" spans="1:15" s="177" customFormat="1" ht="121.5" outlineLevel="1" x14ac:dyDescent="0.2">
      <c r="A115" s="393">
        <v>72</v>
      </c>
      <c r="B115" s="383" t="s">
        <v>218</v>
      </c>
      <c r="C115" s="383" t="s">
        <v>209</v>
      </c>
      <c r="D115" s="371"/>
      <c r="E115" s="380" t="s">
        <v>378</v>
      </c>
      <c r="F115" s="380" t="s">
        <v>219</v>
      </c>
      <c r="G115" s="394" t="s">
        <v>3</v>
      </c>
      <c r="H115" s="233">
        <f>9500000+12453199</f>
        <v>21953199</v>
      </c>
      <c r="I115" s="286">
        <f>9500000+12453199</f>
        <v>21953199</v>
      </c>
      <c r="J115" s="387">
        <v>1E-4</v>
      </c>
      <c r="K115" s="286"/>
      <c r="L115" s="286">
        <v>3720</v>
      </c>
      <c r="M115" s="405">
        <f t="shared" si="6"/>
        <v>21953199</v>
      </c>
      <c r="N115" s="384" t="s">
        <v>220</v>
      </c>
      <c r="O115" s="409"/>
    </row>
    <row r="116" spans="1:15" s="177" customFormat="1" ht="129.75" customHeight="1" outlineLevel="1" x14ac:dyDescent="0.2">
      <c r="A116" s="393">
        <v>73</v>
      </c>
      <c r="B116" s="383" t="s">
        <v>221</v>
      </c>
      <c r="C116" s="383" t="s">
        <v>209</v>
      </c>
      <c r="D116" s="371"/>
      <c r="E116" s="380" t="s">
        <v>378</v>
      </c>
      <c r="F116" s="380" t="s">
        <v>222</v>
      </c>
      <c r="G116" s="394" t="s">
        <v>3</v>
      </c>
      <c r="H116" s="298">
        <v>15801400</v>
      </c>
      <c r="I116" s="286">
        <v>15801400</v>
      </c>
      <c r="J116" s="387">
        <v>1E-4</v>
      </c>
      <c r="K116" s="286"/>
      <c r="L116" s="286">
        <v>3500</v>
      </c>
      <c r="M116" s="405">
        <f t="shared" si="6"/>
        <v>15801400</v>
      </c>
      <c r="N116" s="384" t="s">
        <v>223</v>
      </c>
      <c r="O116" s="409"/>
    </row>
    <row r="117" spans="1:15" s="177" customFormat="1" ht="129.75" customHeight="1" outlineLevel="1" x14ac:dyDescent="0.2">
      <c r="A117" s="393">
        <v>74</v>
      </c>
      <c r="B117" s="383" t="s">
        <v>224</v>
      </c>
      <c r="C117" s="383" t="s">
        <v>209</v>
      </c>
      <c r="D117" s="371"/>
      <c r="E117" s="380" t="s">
        <v>378</v>
      </c>
      <c r="F117" s="380" t="s">
        <v>222</v>
      </c>
      <c r="G117" s="394" t="s">
        <v>3</v>
      </c>
      <c r="H117" s="298">
        <v>2554000</v>
      </c>
      <c r="I117" s="286">
        <v>2554000</v>
      </c>
      <c r="J117" s="387">
        <v>1E-4</v>
      </c>
      <c r="K117" s="286"/>
      <c r="L117" s="286">
        <f>500</f>
        <v>500</v>
      </c>
      <c r="M117" s="405">
        <f t="shared" si="6"/>
        <v>2554000</v>
      </c>
      <c r="N117" s="384" t="s">
        <v>225</v>
      </c>
      <c r="O117" s="409"/>
    </row>
    <row r="118" spans="1:15" s="177" customFormat="1" ht="129.75" customHeight="1" outlineLevel="1" x14ac:dyDescent="0.2">
      <c r="A118" s="393">
        <v>75</v>
      </c>
      <c r="B118" s="383" t="s">
        <v>226</v>
      </c>
      <c r="C118" s="383" t="s">
        <v>209</v>
      </c>
      <c r="D118" s="371"/>
      <c r="E118" s="380" t="s">
        <v>378</v>
      </c>
      <c r="F118" s="380" t="s">
        <v>227</v>
      </c>
      <c r="G118" s="394" t="s">
        <v>3</v>
      </c>
      <c r="H118" s="298">
        <v>29053320</v>
      </c>
      <c r="I118" s="286">
        <v>29053320</v>
      </c>
      <c r="J118" s="387">
        <v>1E-4</v>
      </c>
      <c r="K118" s="286"/>
      <c r="L118" s="286">
        <f>2000+3000</f>
        <v>5000</v>
      </c>
      <c r="M118" s="405">
        <f t="shared" si="6"/>
        <v>29053320</v>
      </c>
      <c r="N118" s="384" t="s">
        <v>228</v>
      </c>
      <c r="O118" s="409"/>
    </row>
    <row r="119" spans="1:15" s="177" customFormat="1" ht="129.75" customHeight="1" outlineLevel="1" x14ac:dyDescent="0.2">
      <c r="A119" s="393">
        <v>76</v>
      </c>
      <c r="B119" s="383" t="s">
        <v>229</v>
      </c>
      <c r="C119" s="383" t="s">
        <v>209</v>
      </c>
      <c r="D119" s="371"/>
      <c r="E119" s="380" t="s">
        <v>378</v>
      </c>
      <c r="F119" s="380" t="s">
        <v>230</v>
      </c>
      <c r="G119" s="394" t="s">
        <v>3</v>
      </c>
      <c r="H119" s="298">
        <v>192064443</v>
      </c>
      <c r="I119" s="286">
        <f>95000000+97064443</f>
        <v>192064443</v>
      </c>
      <c r="J119" s="387">
        <v>1E-4</v>
      </c>
      <c r="K119" s="286">
        <f>65000000+20000000</f>
        <v>85000000</v>
      </c>
      <c r="L119" s="286">
        <f>16100+12200+23933</f>
        <v>52233</v>
      </c>
      <c r="M119" s="405">
        <f t="shared" si="6"/>
        <v>107064443</v>
      </c>
      <c r="N119" s="384" t="s">
        <v>231</v>
      </c>
      <c r="O119" s="409"/>
    </row>
    <row r="120" spans="1:15" s="177" customFormat="1" ht="129.75" customHeight="1" outlineLevel="1" x14ac:dyDescent="0.2">
      <c r="A120" s="393">
        <v>77</v>
      </c>
      <c r="B120" s="383" t="s">
        <v>233</v>
      </c>
      <c r="C120" s="383" t="s">
        <v>209</v>
      </c>
      <c r="D120" s="371"/>
      <c r="E120" s="380" t="s">
        <v>378</v>
      </c>
      <c r="F120" s="380" t="s">
        <v>232</v>
      </c>
      <c r="G120" s="394" t="s">
        <v>3</v>
      </c>
      <c r="H120" s="298">
        <v>3469534</v>
      </c>
      <c r="I120" s="286">
        <v>3469534</v>
      </c>
      <c r="J120" s="387">
        <v>1E-4</v>
      </c>
      <c r="K120" s="286">
        <v>266887</v>
      </c>
      <c r="L120" s="286">
        <f>600+86</f>
        <v>686</v>
      </c>
      <c r="M120" s="405">
        <f t="shared" si="6"/>
        <v>3202647</v>
      </c>
      <c r="N120" s="384" t="s">
        <v>234</v>
      </c>
      <c r="O120" s="409"/>
    </row>
    <row r="121" spans="1:15" s="177" customFormat="1" ht="129.75" customHeight="1" outlineLevel="1" x14ac:dyDescent="0.2">
      <c r="A121" s="393">
        <v>78</v>
      </c>
      <c r="B121" s="383" t="s">
        <v>235</v>
      </c>
      <c r="C121" s="383" t="s">
        <v>209</v>
      </c>
      <c r="D121" s="371"/>
      <c r="E121" s="380" t="s">
        <v>378</v>
      </c>
      <c r="F121" s="380" t="s">
        <v>236</v>
      </c>
      <c r="G121" s="394" t="s">
        <v>3</v>
      </c>
      <c r="H121" s="298">
        <v>11781702</v>
      </c>
      <c r="I121" s="286">
        <v>11781702</v>
      </c>
      <c r="J121" s="387">
        <v>1E-4</v>
      </c>
      <c r="K121" s="286">
        <f>906285+906285+906285+906285+906285+906285</f>
        <v>5437710</v>
      </c>
      <c r="L121" s="286">
        <f>3000+1500+1500</f>
        <v>6000</v>
      </c>
      <c r="M121" s="405">
        <f t="shared" si="6"/>
        <v>6343992</v>
      </c>
      <c r="N121" s="384" t="s">
        <v>237</v>
      </c>
      <c r="O121" s="409"/>
    </row>
    <row r="122" spans="1:15" s="177" customFormat="1" ht="129.75" customHeight="1" outlineLevel="1" x14ac:dyDescent="0.2">
      <c r="A122" s="393">
        <v>79</v>
      </c>
      <c r="B122" s="383" t="s">
        <v>238</v>
      </c>
      <c r="C122" s="383" t="s">
        <v>209</v>
      </c>
      <c r="D122" s="371"/>
      <c r="E122" s="380" t="s">
        <v>378</v>
      </c>
      <c r="F122" s="380" t="s">
        <v>239</v>
      </c>
      <c r="G122" s="394" t="s">
        <v>3</v>
      </c>
      <c r="H122" s="298">
        <f>112000000+16200000</f>
        <v>128200000</v>
      </c>
      <c r="I122" s="286">
        <f>112000000+16200000</f>
        <v>128200000</v>
      </c>
      <c r="J122" s="387">
        <v>1E-4</v>
      </c>
      <c r="K122" s="286">
        <f>3000000+3000000</f>
        <v>6000000</v>
      </c>
      <c r="L122" s="286">
        <f>25640+12820</f>
        <v>38460</v>
      </c>
      <c r="M122" s="405">
        <f t="shared" si="6"/>
        <v>122200000</v>
      </c>
      <c r="N122" s="384" t="s">
        <v>240</v>
      </c>
      <c r="O122" s="409"/>
    </row>
    <row r="123" spans="1:15" s="177" customFormat="1" ht="129.75" customHeight="1" outlineLevel="1" x14ac:dyDescent="0.2">
      <c r="A123" s="393">
        <v>80</v>
      </c>
      <c r="B123" s="383" t="s">
        <v>241</v>
      </c>
      <c r="C123" s="383" t="s">
        <v>209</v>
      </c>
      <c r="D123" s="371"/>
      <c r="E123" s="380" t="s">
        <v>378</v>
      </c>
      <c r="F123" s="380" t="s">
        <v>242</v>
      </c>
      <c r="G123" s="394" t="s">
        <v>3</v>
      </c>
      <c r="H123" s="298">
        <v>26127500</v>
      </c>
      <c r="I123" s="286">
        <v>26127500</v>
      </c>
      <c r="J123" s="387">
        <v>1E-4</v>
      </c>
      <c r="K123" s="286"/>
      <c r="L123" s="286">
        <f>4530</f>
        <v>4530</v>
      </c>
      <c r="M123" s="405">
        <f t="shared" si="6"/>
        <v>26127500</v>
      </c>
      <c r="N123" s="384" t="s">
        <v>243</v>
      </c>
      <c r="O123" s="409"/>
    </row>
    <row r="124" spans="1:15" s="177" customFormat="1" ht="129.75" customHeight="1" outlineLevel="1" x14ac:dyDescent="0.2">
      <c r="A124" s="393">
        <v>81</v>
      </c>
      <c r="B124" s="383" t="s">
        <v>244</v>
      </c>
      <c r="C124" s="383" t="s">
        <v>209</v>
      </c>
      <c r="D124" s="371"/>
      <c r="E124" s="380" t="s">
        <v>378</v>
      </c>
      <c r="F124" s="380" t="s">
        <v>245</v>
      </c>
      <c r="G124" s="394" t="s">
        <v>3</v>
      </c>
      <c r="H124" s="298">
        <v>19297200</v>
      </c>
      <c r="I124" s="286">
        <f>10800000+3440000+1440000+3617200</f>
        <v>19297200</v>
      </c>
      <c r="J124" s="387">
        <v>1E-4</v>
      </c>
      <c r="K124" s="286"/>
      <c r="L124" s="286">
        <f>3000</f>
        <v>3000</v>
      </c>
      <c r="M124" s="405">
        <f t="shared" si="6"/>
        <v>19297200</v>
      </c>
      <c r="N124" s="384" t="s">
        <v>246</v>
      </c>
      <c r="O124" s="409"/>
    </row>
    <row r="125" spans="1:15" s="177" customFormat="1" ht="129.75" customHeight="1" outlineLevel="1" x14ac:dyDescent="0.2">
      <c r="A125" s="393">
        <v>82</v>
      </c>
      <c r="B125" s="383" t="s">
        <v>247</v>
      </c>
      <c r="C125" s="383" t="s">
        <v>209</v>
      </c>
      <c r="D125" s="371"/>
      <c r="E125" s="380" t="s">
        <v>378</v>
      </c>
      <c r="F125" s="380" t="s">
        <v>232</v>
      </c>
      <c r="G125" s="394" t="s">
        <v>3</v>
      </c>
      <c r="H125" s="298">
        <v>2164000</v>
      </c>
      <c r="I125" s="286">
        <v>2164000</v>
      </c>
      <c r="J125" s="387">
        <v>1E-4</v>
      </c>
      <c r="K125" s="286">
        <f>166462+166462+165000+167000+166500</f>
        <v>831424</v>
      </c>
      <c r="L125" s="286">
        <f>370+54.8+100+100</f>
        <v>624.79999999999995</v>
      </c>
      <c r="M125" s="405">
        <f>I125-L125</f>
        <v>2163375.2000000002</v>
      </c>
      <c r="N125" s="384" t="s">
        <v>248</v>
      </c>
      <c r="O125" s="409"/>
    </row>
    <row r="126" spans="1:15" s="177" customFormat="1" ht="129.75" customHeight="1" outlineLevel="1" x14ac:dyDescent="0.2">
      <c r="A126" s="393">
        <v>83</v>
      </c>
      <c r="B126" s="383" t="s">
        <v>249</v>
      </c>
      <c r="C126" s="383" t="s">
        <v>209</v>
      </c>
      <c r="D126" s="383"/>
      <c r="E126" s="380" t="s">
        <v>378</v>
      </c>
      <c r="F126" s="380" t="s">
        <v>250</v>
      </c>
      <c r="G126" s="394" t="s">
        <v>3</v>
      </c>
      <c r="H126" s="298">
        <v>253504102</v>
      </c>
      <c r="I126" s="286">
        <v>253504102</v>
      </c>
      <c r="J126" s="387">
        <v>1E-4</v>
      </c>
      <c r="K126" s="286">
        <f>19500316+19500316+19500315+19500315</f>
        <v>78001262</v>
      </c>
      <c r="L126" s="286">
        <f>5973+6390+6181+6389+6181.4+6390+6390+6390+6389+5407+7015</f>
        <v>69095.399999999994</v>
      </c>
      <c r="M126" s="405">
        <f t="shared" ref="M126:M132" si="7">I126-K126</f>
        <v>175502840</v>
      </c>
      <c r="N126" s="384" t="s">
        <v>251</v>
      </c>
      <c r="O126" s="409"/>
    </row>
    <row r="127" spans="1:15" s="177" customFormat="1" ht="129.75" customHeight="1" outlineLevel="1" x14ac:dyDescent="0.2">
      <c r="A127" s="393">
        <v>84</v>
      </c>
      <c r="B127" s="383" t="s">
        <v>252</v>
      </c>
      <c r="C127" s="383" t="s">
        <v>209</v>
      </c>
      <c r="D127" s="371"/>
      <c r="E127" s="380" t="s">
        <v>378</v>
      </c>
      <c r="F127" s="380" t="s">
        <v>250</v>
      </c>
      <c r="G127" s="394" t="s">
        <v>3</v>
      </c>
      <c r="H127" s="298">
        <v>76200000</v>
      </c>
      <c r="I127" s="286">
        <v>76200000</v>
      </c>
      <c r="J127" s="387">
        <v>1E-4</v>
      </c>
      <c r="K127" s="286"/>
      <c r="L127" s="286">
        <v>7620</v>
      </c>
      <c r="M127" s="405">
        <f t="shared" si="7"/>
        <v>76200000</v>
      </c>
      <c r="N127" s="384" t="s">
        <v>253</v>
      </c>
      <c r="O127" s="409"/>
    </row>
    <row r="128" spans="1:15" s="177" customFormat="1" ht="121.5" outlineLevel="1" x14ac:dyDescent="0.2">
      <c r="A128" s="393">
        <v>85</v>
      </c>
      <c r="B128" s="383" t="s">
        <v>254</v>
      </c>
      <c r="C128" s="383" t="s">
        <v>209</v>
      </c>
      <c r="D128" s="371"/>
      <c r="E128" s="380" t="s">
        <v>378</v>
      </c>
      <c r="F128" s="380" t="s">
        <v>255</v>
      </c>
      <c r="G128" s="394" t="s">
        <v>3</v>
      </c>
      <c r="H128" s="298">
        <v>50613970</v>
      </c>
      <c r="I128" s="286">
        <v>50613970</v>
      </c>
      <c r="J128" s="387">
        <v>1E-4</v>
      </c>
      <c r="K128" s="286"/>
      <c r="L128" s="286">
        <f>8800+8800</f>
        <v>17600</v>
      </c>
      <c r="M128" s="405">
        <f t="shared" si="7"/>
        <v>50613970</v>
      </c>
      <c r="N128" s="384" t="s">
        <v>256</v>
      </c>
      <c r="O128" s="409"/>
    </row>
    <row r="129" spans="1:15" s="177" customFormat="1" ht="121.5" outlineLevel="1" x14ac:dyDescent="0.2">
      <c r="A129" s="393">
        <v>86</v>
      </c>
      <c r="B129" s="383" t="s">
        <v>257</v>
      </c>
      <c r="C129" s="383" t="s">
        <v>209</v>
      </c>
      <c r="D129" s="371"/>
      <c r="E129" s="380" t="s">
        <v>378</v>
      </c>
      <c r="F129" s="380" t="s">
        <v>258</v>
      </c>
      <c r="G129" s="394" t="s">
        <v>3</v>
      </c>
      <c r="H129" s="298">
        <v>184740000</v>
      </c>
      <c r="I129" s="286">
        <v>184740000</v>
      </c>
      <c r="J129" s="387">
        <v>1E-4</v>
      </c>
      <c r="K129" s="286"/>
      <c r="L129" s="286">
        <f>31700</f>
        <v>31700</v>
      </c>
      <c r="M129" s="405">
        <f t="shared" si="7"/>
        <v>184740000</v>
      </c>
      <c r="N129" s="384" t="s">
        <v>259</v>
      </c>
      <c r="O129" s="409"/>
    </row>
    <row r="130" spans="1:15" s="177" customFormat="1" ht="121.5" outlineLevel="1" x14ac:dyDescent="0.2">
      <c r="A130" s="393">
        <v>87</v>
      </c>
      <c r="B130" s="383" t="s">
        <v>260</v>
      </c>
      <c r="C130" s="383" t="s">
        <v>209</v>
      </c>
      <c r="D130" s="371"/>
      <c r="E130" s="380" t="s">
        <v>378</v>
      </c>
      <c r="F130" s="380" t="s">
        <v>261</v>
      </c>
      <c r="G130" s="394" t="s">
        <v>3</v>
      </c>
      <c r="H130" s="298">
        <v>219559596</v>
      </c>
      <c r="I130" s="286">
        <v>219559596</v>
      </c>
      <c r="J130" s="387">
        <v>1E-4</v>
      </c>
      <c r="K130" s="286">
        <f>16889200+16889200+185781196</f>
        <v>219559596</v>
      </c>
      <c r="L130" s="286">
        <f>5294+5294+27550+5533+1000</f>
        <v>44671</v>
      </c>
      <c r="M130" s="405">
        <f t="shared" si="7"/>
        <v>0</v>
      </c>
      <c r="N130" s="384" t="s">
        <v>470</v>
      </c>
      <c r="O130" s="409"/>
    </row>
    <row r="131" spans="1:15" s="177" customFormat="1" ht="121.5" outlineLevel="1" x14ac:dyDescent="0.2">
      <c r="A131" s="393">
        <v>88</v>
      </c>
      <c r="B131" s="383" t="s">
        <v>262</v>
      </c>
      <c r="C131" s="383" t="s">
        <v>209</v>
      </c>
      <c r="D131" s="371"/>
      <c r="E131" s="380" t="s">
        <v>378</v>
      </c>
      <c r="F131" s="380" t="s">
        <v>258</v>
      </c>
      <c r="G131" s="394" t="s">
        <v>3</v>
      </c>
      <c r="H131" s="298">
        <v>29081500</v>
      </c>
      <c r="I131" s="286">
        <v>29081500</v>
      </c>
      <c r="J131" s="387">
        <v>1E-4</v>
      </c>
      <c r="K131" s="286"/>
      <c r="L131" s="286">
        <f>1000+4000+3000</f>
        <v>8000</v>
      </c>
      <c r="M131" s="405">
        <f t="shared" si="7"/>
        <v>29081500</v>
      </c>
      <c r="N131" s="384" t="s">
        <v>263</v>
      </c>
      <c r="O131" s="409"/>
    </row>
    <row r="132" spans="1:15" s="177" customFormat="1" ht="123" customHeight="1" outlineLevel="1" thickBot="1" x14ac:dyDescent="0.25">
      <c r="A132" s="393">
        <v>89</v>
      </c>
      <c r="B132" s="383" t="s">
        <v>264</v>
      </c>
      <c r="C132" s="383" t="s">
        <v>209</v>
      </c>
      <c r="D132" s="371"/>
      <c r="E132" s="380" t="s">
        <v>378</v>
      </c>
      <c r="F132" s="380" t="s">
        <v>265</v>
      </c>
      <c r="G132" s="394" t="s">
        <v>3</v>
      </c>
      <c r="H132" s="298">
        <v>12060940</v>
      </c>
      <c r="I132" s="313">
        <v>12060940</v>
      </c>
      <c r="J132" s="387">
        <v>1E-4</v>
      </c>
      <c r="K132" s="286"/>
      <c r="L132" s="286">
        <v>2170</v>
      </c>
      <c r="M132" s="405">
        <f t="shared" si="7"/>
        <v>12060940</v>
      </c>
      <c r="N132" s="384" t="s">
        <v>266</v>
      </c>
      <c r="O132" s="409"/>
    </row>
    <row r="133" spans="1:15" s="202" customFormat="1" ht="30" customHeight="1" x14ac:dyDescent="0.25">
      <c r="A133" s="509" t="s">
        <v>469</v>
      </c>
      <c r="B133" s="510"/>
      <c r="C133" s="510"/>
      <c r="D133" s="521" t="s">
        <v>35</v>
      </c>
      <c r="E133" s="522"/>
      <c r="F133" s="523"/>
      <c r="G133" s="408"/>
      <c r="H133" s="193">
        <f>SUMIF($G$112:$G$132,D133,$H$112:$H$132)</f>
        <v>0</v>
      </c>
      <c r="I133" s="194">
        <f>SUMIF($G$102:$G$132,D133,$I$102:$I$132)</f>
        <v>0</v>
      </c>
      <c r="J133" s="194"/>
      <c r="K133" s="196">
        <f>SUMIF($G$112:$G$132,D133,$K$112:$K$132)</f>
        <v>0</v>
      </c>
      <c r="L133" s="194">
        <f>SUMIF($G$102:$G$132,D133,$L$102:$L$132)</f>
        <v>0</v>
      </c>
      <c r="M133" s="194">
        <f>SUMIF($G$102:$G$132,D133,$M$102:$M$132)</f>
        <v>0</v>
      </c>
      <c r="N133" s="326"/>
      <c r="O133" s="245"/>
    </row>
    <row r="134" spans="1:15" s="202" customFormat="1" ht="27" customHeight="1" x14ac:dyDescent="0.25">
      <c r="A134" s="494"/>
      <c r="B134" s="495"/>
      <c r="C134" s="495"/>
      <c r="D134" s="514" t="s">
        <v>3</v>
      </c>
      <c r="E134" s="515"/>
      <c r="F134" s="516"/>
      <c r="G134" s="195"/>
      <c r="H134" s="196">
        <f>SUMIF($G$112:$G$132,D134,$H$112:$H$132)</f>
        <v>2011462986</v>
      </c>
      <c r="I134" s="196">
        <f>SUMIF($G$112:$G$132,D134,$I$112:$I$132)</f>
        <v>2011462986</v>
      </c>
      <c r="J134" s="196"/>
      <c r="K134" s="196">
        <f>SUMIF($G$112:$G$132,D134,$K$112:$K$132)</f>
        <v>555425344.20000005</v>
      </c>
      <c r="L134" s="196">
        <f>SUMIF($G$112:$G$132,D134,$L$112:$L$132)</f>
        <v>473203.1</v>
      </c>
      <c r="M134" s="196">
        <f>SUMIF($G$112:$G$132,D134,$M$112:$M$132)</f>
        <v>1456868441</v>
      </c>
      <c r="N134" s="327"/>
      <c r="O134" s="245"/>
    </row>
    <row r="135" spans="1:15" s="202" customFormat="1" ht="28.5" customHeight="1" x14ac:dyDescent="0.25">
      <c r="A135" s="494"/>
      <c r="B135" s="495"/>
      <c r="C135" s="495"/>
      <c r="D135" s="514" t="s">
        <v>57</v>
      </c>
      <c r="E135" s="515"/>
      <c r="F135" s="516"/>
      <c r="G135" s="195"/>
      <c r="H135" s="196">
        <f>SUMIF($G$112:$G$132,D135,$H$112:$H$132)</f>
        <v>0</v>
      </c>
      <c r="I135" s="196">
        <f>SUMIF($G$102:$G$132,D135,$I$102:$I$132)</f>
        <v>0</v>
      </c>
      <c r="J135" s="196"/>
      <c r="K135" s="196">
        <f>SUMIF($G$102:$G$132,D135,$K$102:$K$132)</f>
        <v>0</v>
      </c>
      <c r="L135" s="196">
        <f>SUMIF($G$102:$G$132,D135,$L$102:$L$132)</f>
        <v>0</v>
      </c>
      <c r="M135" s="196">
        <f>SUMIF($G$102:$G$132,D135,$M$102:$M$132)</f>
        <v>0</v>
      </c>
      <c r="N135" s="327"/>
      <c r="O135" s="245"/>
    </row>
    <row r="136" spans="1:15" s="202" customFormat="1" ht="30" customHeight="1" thickBot="1" x14ac:dyDescent="0.3">
      <c r="A136" s="519"/>
      <c r="B136" s="520"/>
      <c r="C136" s="520"/>
      <c r="D136" s="499" t="s">
        <v>77</v>
      </c>
      <c r="E136" s="500"/>
      <c r="F136" s="501"/>
      <c r="G136" s="197"/>
      <c r="H136" s="198">
        <f>SUMIF($G$112:$G$132,D136,$H$112:$H$132)</f>
        <v>0</v>
      </c>
      <c r="I136" s="198">
        <f>SUMIF($G$102:$G$132,D136,$I$102:$I$132)</f>
        <v>0</v>
      </c>
      <c r="J136" s="198"/>
      <c r="K136" s="198">
        <f>SUMIF($G$102:$G$132,D136,$K$102:$K$132)</f>
        <v>0</v>
      </c>
      <c r="L136" s="198">
        <f>SUMIF($G$102:$G$132,D136,$L$102:$L$132)</f>
        <v>0</v>
      </c>
      <c r="M136" s="198">
        <f>SUMIF($G$102:$G$132,D136,$M$102:$M$132)</f>
        <v>0</v>
      </c>
      <c r="N136" s="329"/>
      <c r="O136" s="245"/>
    </row>
    <row r="137" spans="1:15" s="202" customFormat="1" ht="15.75" customHeight="1" x14ac:dyDescent="0.25">
      <c r="A137" s="492" t="s">
        <v>267</v>
      </c>
      <c r="B137" s="493"/>
      <c r="C137" s="524"/>
      <c r="D137" s="513" t="s">
        <v>35</v>
      </c>
      <c r="E137" s="527"/>
      <c r="F137" s="527"/>
      <c r="G137" s="203"/>
      <c r="H137" s="201">
        <f t="shared" ref="H137:M140" si="8">H47+H58+H69+H98+H108+H133</f>
        <v>340755742.28000003</v>
      </c>
      <c r="I137" s="201">
        <f t="shared" si="8"/>
        <v>141386283.71000001</v>
      </c>
      <c r="J137" s="201">
        <f t="shared" si="8"/>
        <v>0</v>
      </c>
      <c r="K137" s="201">
        <f t="shared" si="8"/>
        <v>46922206.239586227</v>
      </c>
      <c r="L137" s="201">
        <f t="shared" si="8"/>
        <v>17824001.940888666</v>
      </c>
      <c r="M137" s="201">
        <f t="shared" si="8"/>
        <v>94464077.470413759</v>
      </c>
      <c r="N137" s="333"/>
      <c r="O137" s="245"/>
    </row>
    <row r="138" spans="1:15" s="202" customFormat="1" ht="17.25" customHeight="1" x14ac:dyDescent="0.25">
      <c r="A138" s="494"/>
      <c r="B138" s="495"/>
      <c r="C138" s="525"/>
      <c r="D138" s="516" t="s">
        <v>3</v>
      </c>
      <c r="E138" s="497"/>
      <c r="F138" s="497"/>
      <c r="G138" s="203"/>
      <c r="H138" s="201">
        <f t="shared" si="8"/>
        <v>174882887740.10001</v>
      </c>
      <c r="I138" s="201">
        <f t="shared" si="8"/>
        <v>193521847798.01001</v>
      </c>
      <c r="J138" s="201">
        <f t="shared" si="8"/>
        <v>0</v>
      </c>
      <c r="K138" s="201">
        <f t="shared" si="8"/>
        <v>94819017763.644714</v>
      </c>
      <c r="L138" s="201">
        <f t="shared" si="8"/>
        <v>45584265255.882973</v>
      </c>
      <c r="M138" s="201">
        <f t="shared" si="8"/>
        <v>98703660833.565292</v>
      </c>
      <c r="N138" s="327"/>
      <c r="O138" s="245"/>
    </row>
    <row r="139" spans="1:15" s="202" customFormat="1" ht="15" customHeight="1" x14ac:dyDescent="0.25">
      <c r="A139" s="494"/>
      <c r="B139" s="495"/>
      <c r="C139" s="525"/>
      <c r="D139" s="516" t="s">
        <v>57</v>
      </c>
      <c r="E139" s="497"/>
      <c r="F139" s="497"/>
      <c r="G139" s="195"/>
      <c r="H139" s="201">
        <f t="shared" si="8"/>
        <v>481140620.32000005</v>
      </c>
      <c r="I139" s="201">
        <f t="shared" si="8"/>
        <v>356993027.06999999</v>
      </c>
      <c r="J139" s="201">
        <f t="shared" si="8"/>
        <v>0</v>
      </c>
      <c r="K139" s="201">
        <f t="shared" si="8"/>
        <v>104784560.83748718</v>
      </c>
      <c r="L139" s="201">
        <f t="shared" si="8"/>
        <v>56929352.557364695</v>
      </c>
      <c r="M139" s="201">
        <f t="shared" si="8"/>
        <v>252731342.40628684</v>
      </c>
      <c r="N139" s="327"/>
      <c r="O139" s="245"/>
    </row>
    <row r="140" spans="1:15" s="202" customFormat="1" ht="25.5" customHeight="1" x14ac:dyDescent="0.25">
      <c r="A140" s="519"/>
      <c r="B140" s="520"/>
      <c r="C140" s="526"/>
      <c r="D140" s="528" t="s">
        <v>77</v>
      </c>
      <c r="E140" s="498"/>
      <c r="F140" s="498"/>
      <c r="G140" s="204"/>
      <c r="H140" s="201">
        <f t="shared" si="8"/>
        <v>31777311969</v>
      </c>
      <c r="I140" s="201">
        <f t="shared" si="8"/>
        <v>31859249643</v>
      </c>
      <c r="J140" s="201">
        <f t="shared" si="8"/>
        <v>0</v>
      </c>
      <c r="K140" s="201">
        <f t="shared" si="8"/>
        <v>11608502507.734192</v>
      </c>
      <c r="L140" s="201">
        <f t="shared" si="8"/>
        <v>3488879860.0944376</v>
      </c>
      <c r="M140" s="201">
        <f t="shared" si="8"/>
        <v>20250747135.265808</v>
      </c>
      <c r="N140" s="328"/>
      <c r="O140" s="245"/>
    </row>
    <row r="141" spans="1:15" s="202" customFormat="1" ht="15" customHeight="1" thickBot="1" x14ac:dyDescent="0.3">
      <c r="A141" s="519"/>
      <c r="B141" s="520"/>
      <c r="C141" s="526"/>
      <c r="D141" s="518" t="s">
        <v>67</v>
      </c>
      <c r="E141" s="515"/>
      <c r="F141" s="516"/>
      <c r="G141" s="204"/>
      <c r="H141" s="201">
        <f t="shared" ref="H141:M141" si="9">H51</f>
        <v>24086688</v>
      </c>
      <c r="I141" s="201">
        <f t="shared" si="9"/>
        <v>18384172.012149811</v>
      </c>
      <c r="J141" s="201">
        <f t="shared" si="9"/>
        <v>0</v>
      </c>
      <c r="K141" s="201">
        <f t="shared" si="9"/>
        <v>3421726.801663748</v>
      </c>
      <c r="L141" s="201">
        <f t="shared" si="9"/>
        <v>2452783.2591014383</v>
      </c>
      <c r="M141" s="201">
        <f t="shared" si="9"/>
        <v>14962445.210486062</v>
      </c>
      <c r="N141" s="328"/>
      <c r="O141" s="245"/>
    </row>
    <row r="142" spans="1:15" ht="51" customHeight="1" thickBot="1" x14ac:dyDescent="0.3">
      <c r="A142" s="316">
        <v>94</v>
      </c>
      <c r="B142" s="317" t="s">
        <v>268</v>
      </c>
      <c r="C142" s="318" t="s">
        <v>269</v>
      </c>
      <c r="D142" s="318" t="s">
        <v>119</v>
      </c>
      <c r="E142" s="318" t="s">
        <v>379</v>
      </c>
      <c r="F142" s="318" t="s">
        <v>270</v>
      </c>
      <c r="G142" s="318" t="s">
        <v>3</v>
      </c>
      <c r="H142" s="319">
        <f>834800635300+144000000000+32000000000+132000000000+3500000000+14000000000+2900000000+4000000000</f>
        <v>1167200635300</v>
      </c>
      <c r="I142" s="320">
        <f>834798635300+12095027500+14732486250+11774486250+13492000000+25492000000+15482000000+12375860000+12000000000+13000000000+12000000000+15700000000+17856140000+15664000000+17000000000+14500000000+15500000000+26000000000+14900000000+11999274664+16000725336+11696539543.9-117562.5</f>
        <v>1154059057281.3999</v>
      </c>
      <c r="J142" s="410">
        <v>1E-4</v>
      </c>
      <c r="K142" s="320"/>
      <c r="L142" s="320"/>
      <c r="M142" s="322">
        <f>I142-K142</f>
        <v>1154059057281.3999</v>
      </c>
      <c r="N142" s="334" t="s">
        <v>82</v>
      </c>
    </row>
    <row r="143" spans="1:15" s="202" customFormat="1" ht="15" customHeight="1" x14ac:dyDescent="0.25">
      <c r="A143" s="205"/>
      <c r="B143" s="205"/>
      <c r="C143" s="205"/>
      <c r="D143" s="206"/>
      <c r="E143" s="206"/>
      <c r="F143" s="206"/>
      <c r="G143" s="207"/>
      <c r="H143" s="170"/>
      <c r="I143" s="170"/>
      <c r="J143" s="170"/>
      <c r="K143" s="170"/>
      <c r="L143" s="170"/>
      <c r="M143" s="170"/>
      <c r="N143" s="208"/>
      <c r="O143" s="245"/>
    </row>
    <row r="144" spans="1:15" ht="17.25" x14ac:dyDescent="0.3">
      <c r="B144" s="179" t="s">
        <v>3</v>
      </c>
      <c r="C144" s="180"/>
      <c r="G144" s="210"/>
      <c r="J144" s="170"/>
      <c r="N144" s="215"/>
    </row>
    <row r="145" spans="2:15" ht="17.25" x14ac:dyDescent="0.3">
      <c r="B145" s="179" t="s">
        <v>57</v>
      </c>
      <c r="C145" s="180">
        <v>393.4</v>
      </c>
      <c r="J145" s="170"/>
      <c r="N145" s="218"/>
    </row>
    <row r="146" spans="2:15" ht="17.25" x14ac:dyDescent="0.3">
      <c r="B146" s="179" t="s">
        <v>77</v>
      </c>
      <c r="C146" s="185">
        <v>2.6379999999999999</v>
      </c>
      <c r="J146" s="170"/>
      <c r="N146" s="220"/>
    </row>
    <row r="147" spans="2:15" ht="17.25" x14ac:dyDescent="0.3">
      <c r="B147" s="179" t="s">
        <v>35</v>
      </c>
      <c r="C147" s="180">
        <v>417.4</v>
      </c>
      <c r="J147" s="170"/>
      <c r="N147" s="220"/>
    </row>
    <row r="148" spans="2:15" ht="17.25" x14ac:dyDescent="0.3">
      <c r="B148" s="179" t="s">
        <v>67</v>
      </c>
      <c r="C148" s="180">
        <v>515.87</v>
      </c>
      <c r="J148" s="170"/>
      <c r="N148" s="169"/>
    </row>
    <row r="149" spans="2:15" x14ac:dyDescent="0.25">
      <c r="J149" s="170"/>
      <c r="N149" s="169"/>
    </row>
    <row r="150" spans="2:15" x14ac:dyDescent="0.25">
      <c r="J150" s="170"/>
    </row>
    <row r="151" spans="2:15" x14ac:dyDescent="0.25">
      <c r="J151" s="170"/>
    </row>
    <row r="152" spans="2:15" x14ac:dyDescent="0.25">
      <c r="H152" s="213"/>
      <c r="I152" s="213"/>
      <c r="J152" s="213"/>
      <c r="K152" s="213"/>
      <c r="L152" s="213"/>
      <c r="M152" s="213"/>
      <c r="N152" s="213"/>
    </row>
    <row r="153" spans="2:15" x14ac:dyDescent="0.25">
      <c r="H153" s="213"/>
      <c r="I153" s="213"/>
      <c r="J153" s="213"/>
      <c r="K153" s="213"/>
      <c r="L153" s="213"/>
      <c r="M153" s="213"/>
      <c r="N153" s="213"/>
    </row>
    <row r="154" spans="2:15" x14ac:dyDescent="0.25">
      <c r="H154" s="213"/>
      <c r="I154" s="213"/>
      <c r="J154" s="213"/>
      <c r="K154" s="213"/>
      <c r="L154" s="213"/>
      <c r="M154" s="213"/>
      <c r="N154" s="213"/>
    </row>
    <row r="155" spans="2:15" x14ac:dyDescent="0.25">
      <c r="H155" s="213"/>
      <c r="I155" s="213"/>
      <c r="J155" s="213"/>
      <c r="K155" s="213"/>
      <c r="L155" s="213"/>
      <c r="M155" s="213"/>
      <c r="N155" s="213"/>
    </row>
    <row r="156" spans="2:15" x14ac:dyDescent="0.25">
      <c r="H156" s="213"/>
      <c r="I156" s="213"/>
      <c r="J156" s="213"/>
      <c r="K156" s="213"/>
      <c r="L156" s="213"/>
      <c r="M156" s="213"/>
      <c r="N156" s="213"/>
    </row>
    <row r="157" spans="2:15" x14ac:dyDescent="0.25">
      <c r="H157" s="213"/>
      <c r="J157" s="170"/>
    </row>
    <row r="158" spans="2:15" s="214" customFormat="1" x14ac:dyDescent="0.25">
      <c r="B158" s="186"/>
      <c r="C158" s="170"/>
      <c r="D158" s="170"/>
      <c r="E158" s="209"/>
      <c r="F158" s="170"/>
      <c r="G158" s="170"/>
      <c r="H158" s="213"/>
      <c r="I158" s="170"/>
      <c r="J158" s="170"/>
      <c r="K158" s="170"/>
      <c r="L158" s="170"/>
      <c r="M158" s="170"/>
      <c r="N158" s="170"/>
      <c r="O158" s="169"/>
    </row>
    <row r="159" spans="2:15" x14ac:dyDescent="0.25">
      <c r="J159" s="170"/>
    </row>
    <row r="160" spans="2:15" x14ac:dyDescent="0.25">
      <c r="J160" s="170"/>
    </row>
    <row r="161" spans="10:10" x14ac:dyDescent="0.25">
      <c r="J161" s="170"/>
    </row>
    <row r="162" spans="10:10" x14ac:dyDescent="0.25">
      <c r="J162" s="170"/>
    </row>
    <row r="163" spans="10:10" x14ac:dyDescent="0.25">
      <c r="J163" s="170"/>
    </row>
    <row r="164" spans="10:10" x14ac:dyDescent="0.25">
      <c r="J164" s="170"/>
    </row>
    <row r="165" spans="10:10" x14ac:dyDescent="0.25">
      <c r="J165" s="170"/>
    </row>
  </sheetData>
  <sheetProtection formatCells="0" formatColumns="0" formatRows="0" insertColumns="0" insertRows="0" insertHyperlinks="0" deleteColumns="0" deleteRows="0" sort="0" autoFilter="0" pivotTables="0"/>
  <protectedRanges>
    <protectedRange password="C670" sqref="A65:N68 A74:N77 A80:N92" name="Maria"/>
    <protectedRange algorithmName="SHA-512" hashValue="R0m7mG/o0t2+7dbQTzM5iQkFX2amgAS+iAGJudQnnweh07e6LDAbSuhvcwbzcp7drP+HIG4d/wHfMCXiBXmkow==" saltValue="hXh6Ce3lteSj/cvmR3BSBw==" spinCount="100000" sqref="N142 N112:N132 A142:L142 A112:L132" name="Narine"/>
    <protectedRange algorithmName="SHA-512" hashValue="/qDn2zoAPl6XveVGTDHZcWIjR6P6fmKMYiOIx92BVGuoQ3TYOXlsDsoiDSLs1D9Ugjb3A3EixLJ11cGk8PSHvw==" saltValue="LV/JN9wntl8CkZ3QpoEkqA==" spinCount="100000" sqref="N96:N97 N62:N63 A62:L63 A96:L97" name="Nara"/>
    <protectedRange algorithmName="SHA-512" hashValue="2hnhy85Hze6pXZTujHMyiGA7lE9yapdzAMEgpTAQUbEvX5wkbgVJAYj8efzABUddHb+HHBXm+QO7FFQ7DdcL0Q==" saltValue="/3Se5MhqYIbXZuII16lL6A==" spinCount="100000" sqref="A73:N73 A102:N107" name="Range4"/>
  </protectedRanges>
  <mergeCells count="156">
    <mergeCell ref="D141:F141"/>
    <mergeCell ref="A133:C136"/>
    <mergeCell ref="D133:F133"/>
    <mergeCell ref="D134:F134"/>
    <mergeCell ref="D135:F135"/>
    <mergeCell ref="D136:F136"/>
    <mergeCell ref="A137:C141"/>
    <mergeCell ref="D137:F137"/>
    <mergeCell ref="D138:F138"/>
    <mergeCell ref="D139:F139"/>
    <mergeCell ref="D140:F140"/>
    <mergeCell ref="A108:C111"/>
    <mergeCell ref="D108:F108"/>
    <mergeCell ref="D109:F109"/>
    <mergeCell ref="D110:F110"/>
    <mergeCell ref="D111:F111"/>
    <mergeCell ref="A98:C101"/>
    <mergeCell ref="D98:F98"/>
    <mergeCell ref="D99:F99"/>
    <mergeCell ref="D100:F100"/>
    <mergeCell ref="D101:F101"/>
    <mergeCell ref="B105:B107"/>
    <mergeCell ref="C105:C107"/>
    <mergeCell ref="N87:N88"/>
    <mergeCell ref="A93:A94"/>
    <mergeCell ref="B93:B94"/>
    <mergeCell ref="C93:C94"/>
    <mergeCell ref="D93:D94"/>
    <mergeCell ref="E93:E94"/>
    <mergeCell ref="F93:F94"/>
    <mergeCell ref="N93:N94"/>
    <mergeCell ref="A76:A77"/>
    <mergeCell ref="B76:B77"/>
    <mergeCell ref="C76:C77"/>
    <mergeCell ref="F76:F77"/>
    <mergeCell ref="N81:N83"/>
    <mergeCell ref="A87:A88"/>
    <mergeCell ref="B87:B88"/>
    <mergeCell ref="C87:C88"/>
    <mergeCell ref="D87:D88"/>
    <mergeCell ref="E87:E88"/>
    <mergeCell ref="A58:C61"/>
    <mergeCell ref="D58:F58"/>
    <mergeCell ref="D59:F59"/>
    <mergeCell ref="D60:F60"/>
    <mergeCell ref="D61:F61"/>
    <mergeCell ref="A69:C72"/>
    <mergeCell ref="D69:F69"/>
    <mergeCell ref="D70:F70"/>
    <mergeCell ref="D71:F71"/>
    <mergeCell ref="D72:F72"/>
    <mergeCell ref="B53:B54"/>
    <mergeCell ref="N53:N54"/>
    <mergeCell ref="A56:A57"/>
    <mergeCell ref="B56:B57"/>
    <mergeCell ref="C56:C57"/>
    <mergeCell ref="N56:N57"/>
    <mergeCell ref="J45:J46"/>
    <mergeCell ref="A47:C51"/>
    <mergeCell ref="D47:F47"/>
    <mergeCell ref="D48:F48"/>
    <mergeCell ref="D49:F49"/>
    <mergeCell ref="D50:F50"/>
    <mergeCell ref="D51:F51"/>
    <mergeCell ref="N34:N36"/>
    <mergeCell ref="A43:A44"/>
    <mergeCell ref="B43:B44"/>
    <mergeCell ref="C43:C44"/>
    <mergeCell ref="E43:E44"/>
    <mergeCell ref="F43:F44"/>
    <mergeCell ref="J43:J44"/>
    <mergeCell ref="N43:N44"/>
    <mergeCell ref="A34:A36"/>
    <mergeCell ref="B34:B36"/>
    <mergeCell ref="C34:C36"/>
    <mergeCell ref="D34:D36"/>
    <mergeCell ref="E34:E36"/>
    <mergeCell ref="E31:E32"/>
    <mergeCell ref="F31:F32"/>
    <mergeCell ref="A31:A32"/>
    <mergeCell ref="B31:B32"/>
    <mergeCell ref="C31:C32"/>
    <mergeCell ref="D31:D32"/>
    <mergeCell ref="C29:C30"/>
    <mergeCell ref="D29:D30"/>
    <mergeCell ref="C27:C28"/>
    <mergeCell ref="D27:D28"/>
    <mergeCell ref="J23:J24"/>
    <mergeCell ref="N23:N24"/>
    <mergeCell ref="A25:A26"/>
    <mergeCell ref="B25:B26"/>
    <mergeCell ref="E25:E26"/>
    <mergeCell ref="F25:F26"/>
    <mergeCell ref="J25:J26"/>
    <mergeCell ref="N25:N26"/>
    <mergeCell ref="E23:E24"/>
    <mergeCell ref="F23:F24"/>
    <mergeCell ref="A23:A24"/>
    <mergeCell ref="B23:B24"/>
    <mergeCell ref="C23:C26"/>
    <mergeCell ref="D23:D26"/>
    <mergeCell ref="N17:N18"/>
    <mergeCell ref="A19:A20"/>
    <mergeCell ref="B19:B20"/>
    <mergeCell ref="C19:C22"/>
    <mergeCell ref="D19:D22"/>
    <mergeCell ref="A17:A18"/>
    <mergeCell ref="B17:B18"/>
    <mergeCell ref="C17:C18"/>
    <mergeCell ref="D17:D18"/>
    <mergeCell ref="E17:E18"/>
    <mergeCell ref="F17:F18"/>
    <mergeCell ref="A21:A22"/>
    <mergeCell ref="B21:B22"/>
    <mergeCell ref="E21:E22"/>
    <mergeCell ref="F21:F22"/>
    <mergeCell ref="N21:N22"/>
    <mergeCell ref="E19:E20"/>
    <mergeCell ref="F19:F20"/>
    <mergeCell ref="J19:J22"/>
    <mergeCell ref="N19:N20"/>
    <mergeCell ref="E15:E16"/>
    <mergeCell ref="F15:F16"/>
    <mergeCell ref="J15:J16"/>
    <mergeCell ref="N15:N16"/>
    <mergeCell ref="N13:N14"/>
    <mergeCell ref="A15:A16"/>
    <mergeCell ref="B15:B16"/>
    <mergeCell ref="C15:C16"/>
    <mergeCell ref="D15:D16"/>
    <mergeCell ref="A13:A14"/>
    <mergeCell ref="B13:B14"/>
    <mergeCell ref="C13:C14"/>
    <mergeCell ref="E13:E14"/>
    <mergeCell ref="F13:F14"/>
    <mergeCell ref="J13:J14"/>
    <mergeCell ref="A1:N1"/>
    <mergeCell ref="A2:N2"/>
    <mergeCell ref="A5:A6"/>
    <mergeCell ref="B5:B6"/>
    <mergeCell ref="D5:D6"/>
    <mergeCell ref="E5:E6"/>
    <mergeCell ref="N9:N10"/>
    <mergeCell ref="A11:A12"/>
    <mergeCell ref="B11:B12"/>
    <mergeCell ref="C11:C12"/>
    <mergeCell ref="E11:E12"/>
    <mergeCell ref="F11:F12"/>
    <mergeCell ref="J11:J12"/>
    <mergeCell ref="N11:N12"/>
    <mergeCell ref="A9:A10"/>
    <mergeCell ref="B9:B10"/>
    <mergeCell ref="C9:C10"/>
    <mergeCell ref="E9:E10"/>
    <mergeCell ref="F9:F10"/>
    <mergeCell ref="J9:J10"/>
  </mergeCells>
  <conditionalFormatting sqref="I5">
    <cfRule type="cellIs" dxfId="14" priority="5" operator="notEqual">
      <formula>#REF!</formula>
    </cfRule>
  </conditionalFormatting>
  <conditionalFormatting sqref="I95 I6:I33 I35:I41 I43:I45">
    <cfRule type="cellIs" dxfId="13" priority="4" operator="notEqual">
      <formula>#REF!</formula>
    </cfRule>
  </conditionalFormatting>
  <conditionalFormatting sqref="H21">
    <cfRule type="cellIs" dxfId="12" priority="3" operator="notEqual">
      <formula>#REF!</formula>
    </cfRule>
  </conditionalFormatting>
  <conditionalFormatting sqref="I46">
    <cfRule type="cellIs" dxfId="11" priority="2" operator="notEqual">
      <formula>#REF!</formula>
    </cfRule>
  </conditionalFormatting>
  <conditionalFormatting sqref="I79">
    <cfRule type="cellIs" dxfId="10" priority="1" operator="notEqual">
      <formula>#REF!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zoomScale="80" zoomScaleNormal="80" workbookViewId="0">
      <pane xSplit="2" ySplit="4" topLeftCell="C5" activePane="bottomRight" state="frozen"/>
      <selection activeCell="I143" sqref="I143"/>
      <selection pane="topRight" activeCell="I143" sqref="I143"/>
      <selection pane="bottomLeft" activeCell="I143" sqref="I143"/>
      <selection pane="bottomRight" activeCell="I143" sqref="I143"/>
    </sheetView>
  </sheetViews>
  <sheetFormatPr defaultRowHeight="13.5" outlineLevelRow="1" x14ac:dyDescent="0.25"/>
  <cols>
    <col min="1" max="1" width="6.85546875" style="173" customWidth="1"/>
    <col min="2" max="2" width="23.7109375" style="171" customWidth="1"/>
    <col min="3" max="3" width="23.42578125" style="173" customWidth="1"/>
    <col min="4" max="4" width="16.140625" style="173" customWidth="1"/>
    <col min="5" max="10" width="16.140625" style="173" hidden="1" customWidth="1"/>
    <col min="11" max="11" width="18.85546875" style="181" customWidth="1"/>
    <col min="12" max="12" width="20.140625" style="173" customWidth="1"/>
    <col min="13" max="13" width="16.42578125" style="173" bestFit="1" customWidth="1"/>
    <col min="14" max="14" width="19.7109375" style="173" customWidth="1"/>
    <col min="15" max="15" width="20.28515625" style="173" customWidth="1"/>
    <col min="16" max="16" width="21.7109375" style="183" customWidth="1"/>
    <col min="17" max="17" width="18.5703125" style="173" customWidth="1"/>
    <col min="18" max="18" width="18.85546875" style="173" bestFit="1" customWidth="1"/>
    <col min="19" max="19" width="26.7109375" style="173" bestFit="1" customWidth="1"/>
    <col min="20" max="20" width="26.42578125" style="173" customWidth="1"/>
    <col min="21" max="21" width="23.5703125" style="172" customWidth="1"/>
    <col min="22" max="22" width="21.85546875" style="173" customWidth="1"/>
    <col min="23" max="16384" width="9.140625" style="173"/>
  </cols>
  <sheetData>
    <row r="1" spans="1:22" s="170" customFormat="1" ht="22.5" x14ac:dyDescent="0.4">
      <c r="A1" s="455" t="s">
        <v>18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169"/>
    </row>
    <row r="2" spans="1:22" s="170" customFormat="1" ht="49.5" customHeight="1" x14ac:dyDescent="0.4">
      <c r="A2" s="456" t="s">
        <v>472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169"/>
    </row>
    <row r="3" spans="1:22" ht="14.25" thickBot="1" x14ac:dyDescent="0.3">
      <c r="A3" s="187"/>
      <c r="B3" s="186"/>
      <c r="C3" s="187"/>
      <c r="D3" s="187"/>
      <c r="E3" s="187"/>
      <c r="F3" s="187"/>
      <c r="G3" s="187"/>
      <c r="H3" s="187"/>
      <c r="I3" s="187"/>
      <c r="J3" s="187"/>
      <c r="K3" s="188"/>
      <c r="L3" s="187"/>
      <c r="M3" s="187"/>
      <c r="N3" s="187"/>
      <c r="O3" s="187"/>
      <c r="P3" s="189"/>
      <c r="Q3" s="187"/>
      <c r="R3" s="187"/>
      <c r="S3" s="187"/>
      <c r="T3" s="187"/>
    </row>
    <row r="4" spans="1:22" s="174" customFormat="1" ht="114" customHeight="1" thickBot="1" x14ac:dyDescent="0.3">
      <c r="A4" s="221" t="s">
        <v>19</v>
      </c>
      <c r="B4" s="191" t="s">
        <v>20</v>
      </c>
      <c r="C4" s="191" t="s">
        <v>21</v>
      </c>
      <c r="D4" s="191" t="s">
        <v>22</v>
      </c>
      <c r="E4" s="190" t="s">
        <v>23</v>
      </c>
      <c r="F4" s="191" t="s">
        <v>457</v>
      </c>
      <c r="G4" s="191" t="s">
        <v>458</v>
      </c>
      <c r="H4" s="191" t="s">
        <v>459</v>
      </c>
      <c r="I4" s="191" t="s">
        <v>460</v>
      </c>
      <c r="J4" s="191" t="s">
        <v>461</v>
      </c>
      <c r="K4" s="191" t="s">
        <v>314</v>
      </c>
      <c r="L4" s="191" t="s">
        <v>306</v>
      </c>
      <c r="M4" s="191" t="s">
        <v>23</v>
      </c>
      <c r="N4" s="191" t="s">
        <v>24</v>
      </c>
      <c r="O4" s="191" t="s">
        <v>25</v>
      </c>
      <c r="P4" s="222" t="s">
        <v>26</v>
      </c>
      <c r="Q4" s="191" t="s">
        <v>27</v>
      </c>
      <c r="R4" s="191" t="s">
        <v>28</v>
      </c>
      <c r="S4" s="191" t="s">
        <v>29</v>
      </c>
      <c r="T4" s="223" t="s">
        <v>30</v>
      </c>
      <c r="U4" s="224"/>
    </row>
    <row r="5" spans="1:22" ht="60" customHeight="1" outlineLevel="1" x14ac:dyDescent="0.25">
      <c r="A5" s="457">
        <v>1</v>
      </c>
      <c r="B5" s="459" t="s">
        <v>31</v>
      </c>
      <c r="C5" s="225" t="s">
        <v>32</v>
      </c>
      <c r="D5" s="461" t="s">
        <v>33</v>
      </c>
      <c r="E5" s="461" t="s">
        <v>35</v>
      </c>
      <c r="F5" s="226">
        <v>7300000</v>
      </c>
      <c r="G5" s="226">
        <v>5822389.5</v>
      </c>
      <c r="H5" s="227">
        <v>7.4999999999999997E-3</v>
      </c>
      <c r="I5" s="228"/>
      <c r="J5" s="229">
        <f t="shared" ref="J5:J15" si="0">G5-I5</f>
        <v>5822389.5</v>
      </c>
      <c r="K5" s="463" t="s">
        <v>315</v>
      </c>
      <c r="L5" s="230" t="s">
        <v>34</v>
      </c>
      <c r="M5" s="231" t="s">
        <v>35</v>
      </c>
      <c r="N5" s="232">
        <v>7300000</v>
      </c>
      <c r="O5" s="233">
        <f>5822389.5+13412.1+4470.7+716451.75+24588.85+716451.75+2235.35</f>
        <v>7299999.9999999991</v>
      </c>
      <c r="P5" s="227" t="s">
        <v>36</v>
      </c>
      <c r="Q5" s="233">
        <f>595000+119000+119000+119000+119000</f>
        <v>1071000</v>
      </c>
      <c r="R5" s="233">
        <v>628729.69999999995</v>
      </c>
      <c r="S5" s="232">
        <f t="shared" ref="S5:S33" si="1">O5-Q5</f>
        <v>6228999.9999999991</v>
      </c>
      <c r="T5" s="323" t="s">
        <v>37</v>
      </c>
      <c r="V5" s="172"/>
    </row>
    <row r="6" spans="1:22" ht="75.75" customHeight="1" outlineLevel="1" x14ac:dyDescent="0.25">
      <c r="A6" s="458"/>
      <c r="B6" s="460"/>
      <c r="C6" s="234" t="s">
        <v>38</v>
      </c>
      <c r="D6" s="462"/>
      <c r="E6" s="462"/>
      <c r="F6" s="235">
        <v>7300000</v>
      </c>
      <c r="G6" s="235">
        <v>7300000</v>
      </c>
      <c r="H6" s="236" t="s">
        <v>40</v>
      </c>
      <c r="I6" s="237"/>
      <c r="J6" s="238">
        <f t="shared" si="0"/>
        <v>7300000</v>
      </c>
      <c r="K6" s="464"/>
      <c r="L6" s="239" t="s">
        <v>39</v>
      </c>
      <c r="M6" s="240" t="s">
        <v>35</v>
      </c>
      <c r="N6" s="233">
        <v>7300000</v>
      </c>
      <c r="O6" s="233">
        <v>7299999.9999999981</v>
      </c>
      <c r="P6" s="236" t="s">
        <v>40</v>
      </c>
      <c r="Q6" s="233">
        <f>5474999.9+304166.7+304166.7+304166.7+304166.7</f>
        <v>6691666.7000000011</v>
      </c>
      <c r="R6" s="233">
        <v>1226756</v>
      </c>
      <c r="S6" s="233">
        <f t="shared" si="1"/>
        <v>608333.29999999702</v>
      </c>
      <c r="T6" s="324" t="s">
        <v>41</v>
      </c>
      <c r="V6" s="172"/>
    </row>
    <row r="7" spans="1:22" ht="64.5" customHeight="1" outlineLevel="1" x14ac:dyDescent="0.25">
      <c r="A7" s="241">
        <v>2</v>
      </c>
      <c r="B7" s="242" t="s">
        <v>31</v>
      </c>
      <c r="C7" s="242" t="s">
        <v>42</v>
      </c>
      <c r="D7" s="239" t="s">
        <v>33</v>
      </c>
      <c r="E7" s="240" t="s">
        <v>35</v>
      </c>
      <c r="F7" s="235">
        <v>14060527</v>
      </c>
      <c r="G7" s="235">
        <v>14060527</v>
      </c>
      <c r="H7" s="243">
        <v>7.4999999999999997E-3</v>
      </c>
      <c r="I7" s="235">
        <v>3044232</v>
      </c>
      <c r="J7" s="238">
        <f t="shared" si="0"/>
        <v>11016295</v>
      </c>
      <c r="K7" s="244" t="s">
        <v>316</v>
      </c>
      <c r="L7" s="239" t="s">
        <v>43</v>
      </c>
      <c r="M7" s="240" t="s">
        <v>35</v>
      </c>
      <c r="N7" s="233">
        <v>14060526.73</v>
      </c>
      <c r="O7" s="233">
        <v>14060526.73</v>
      </c>
      <c r="P7" s="243">
        <v>7.4999999999999997E-3</v>
      </c>
      <c r="Q7" s="233">
        <f>5858552.73979552+234342.1+234342.1+98055764.9/418.43+98932204.4/422.17</f>
        <v>6795921.1398902042</v>
      </c>
      <c r="R7" s="233">
        <f>1294472.69934396+40254.3+39195.3+16095956/418.43+15796672.6/422.17</f>
        <v>1449807.5992226265</v>
      </c>
      <c r="S7" s="233">
        <f t="shared" si="1"/>
        <v>7264605.5901097963</v>
      </c>
      <c r="T7" s="324" t="s">
        <v>37</v>
      </c>
      <c r="V7" s="172"/>
    </row>
    <row r="8" spans="1:22" ht="67.5" outlineLevel="1" x14ac:dyDescent="0.25">
      <c r="A8" s="241">
        <v>3</v>
      </c>
      <c r="B8" s="242" t="s">
        <v>31</v>
      </c>
      <c r="C8" s="242" t="s">
        <v>44</v>
      </c>
      <c r="D8" s="239" t="s">
        <v>33</v>
      </c>
      <c r="E8" s="240" t="s">
        <v>35</v>
      </c>
      <c r="F8" s="235">
        <v>75000000</v>
      </c>
      <c r="G8" s="235">
        <v>0</v>
      </c>
      <c r="H8" s="243">
        <v>1.8499999999999999E-2</v>
      </c>
      <c r="I8" s="237"/>
      <c r="J8" s="238">
        <f t="shared" si="0"/>
        <v>0</v>
      </c>
      <c r="K8" s="244" t="s">
        <v>317</v>
      </c>
      <c r="L8" s="239" t="s">
        <v>45</v>
      </c>
      <c r="M8" s="240" t="s">
        <v>35</v>
      </c>
      <c r="N8" s="233">
        <v>75000000</v>
      </c>
      <c r="O8" s="233"/>
      <c r="P8" s="243" t="s">
        <v>46</v>
      </c>
      <c r="Q8" s="233"/>
      <c r="R8" s="233">
        <f>1932812.5+93750+93750+93750+93750</f>
        <v>2307812.5</v>
      </c>
      <c r="S8" s="233">
        <f t="shared" si="1"/>
        <v>0</v>
      </c>
      <c r="T8" s="324" t="s">
        <v>41</v>
      </c>
      <c r="V8" s="172"/>
    </row>
    <row r="9" spans="1:22" ht="57.75" customHeight="1" outlineLevel="1" x14ac:dyDescent="0.25">
      <c r="A9" s="467">
        <v>4</v>
      </c>
      <c r="B9" s="468" t="s">
        <v>31</v>
      </c>
      <c r="C9" s="468" t="s">
        <v>44</v>
      </c>
      <c r="D9" s="239" t="s">
        <v>33</v>
      </c>
      <c r="E9" s="240" t="s">
        <v>35</v>
      </c>
      <c r="F9" s="235">
        <v>10200000</v>
      </c>
      <c r="G9" s="235">
        <v>0</v>
      </c>
      <c r="H9" s="243">
        <v>7.4999999999999997E-3</v>
      </c>
      <c r="I9" s="236"/>
      <c r="J9" s="238">
        <f t="shared" si="0"/>
        <v>0</v>
      </c>
      <c r="K9" s="469" t="s">
        <v>317</v>
      </c>
      <c r="L9" s="470" t="s">
        <v>47</v>
      </c>
      <c r="M9" s="240" t="s">
        <v>35</v>
      </c>
      <c r="N9" s="233">
        <v>10200000</v>
      </c>
      <c r="O9" s="233">
        <f>1075381.69+59500</f>
        <v>1134881.69</v>
      </c>
      <c r="P9" s="471" t="s">
        <v>36</v>
      </c>
      <c r="Q9" s="233">
        <v>0</v>
      </c>
      <c r="R9" s="233">
        <f>200690.672577969+15587.2+6522152.1/418.43+6580448.3/422.17</f>
        <v>247452.27276755084</v>
      </c>
      <c r="S9" s="233">
        <f>O9-Q9</f>
        <v>1134881.69</v>
      </c>
      <c r="T9" s="465" t="s">
        <v>41</v>
      </c>
      <c r="V9" s="172"/>
    </row>
    <row r="10" spans="1:22" ht="57.75" customHeight="1" outlineLevel="1" x14ac:dyDescent="0.25">
      <c r="A10" s="457"/>
      <c r="B10" s="460"/>
      <c r="C10" s="460"/>
      <c r="D10" s="239"/>
      <c r="E10" s="240"/>
      <c r="F10" s="235"/>
      <c r="G10" s="235"/>
      <c r="H10" s="243"/>
      <c r="I10" s="236"/>
      <c r="J10" s="238"/>
      <c r="K10" s="463"/>
      <c r="L10" s="461"/>
      <c r="M10" s="240" t="s">
        <v>3</v>
      </c>
      <c r="N10" s="233"/>
      <c r="O10" s="233">
        <v>244081445</v>
      </c>
      <c r="P10" s="472"/>
      <c r="Q10" s="233"/>
      <c r="R10" s="233">
        <f>9774294.3+915305.4+915305.4</f>
        <v>11604905.100000001</v>
      </c>
      <c r="S10" s="233">
        <f>O10-Q10</f>
        <v>244081445</v>
      </c>
      <c r="T10" s="466"/>
      <c r="V10" s="172"/>
    </row>
    <row r="11" spans="1:22" ht="76.5" customHeight="1" outlineLevel="1" x14ac:dyDescent="0.25">
      <c r="A11" s="467">
        <v>5</v>
      </c>
      <c r="B11" s="468" t="s">
        <v>31</v>
      </c>
      <c r="C11" s="468" t="s">
        <v>48</v>
      </c>
      <c r="D11" s="239"/>
      <c r="E11" s="240"/>
      <c r="F11" s="235"/>
      <c r="G11" s="235"/>
      <c r="H11" s="243"/>
      <c r="I11" s="236"/>
      <c r="J11" s="238"/>
      <c r="K11" s="469" t="s">
        <v>318</v>
      </c>
      <c r="L11" s="470" t="s">
        <v>49</v>
      </c>
      <c r="M11" s="240" t="s">
        <v>35</v>
      </c>
      <c r="N11" s="233">
        <v>10000000</v>
      </c>
      <c r="O11" s="233"/>
      <c r="P11" s="471" t="s">
        <v>50</v>
      </c>
      <c r="Q11" s="233"/>
      <c r="R11" s="233">
        <v>50000</v>
      </c>
      <c r="S11" s="233">
        <f>O11-Q11</f>
        <v>0</v>
      </c>
      <c r="T11" s="465" t="s">
        <v>51</v>
      </c>
      <c r="V11" s="172"/>
    </row>
    <row r="12" spans="1:22" ht="76.5" customHeight="1" outlineLevel="1" x14ac:dyDescent="0.25">
      <c r="A12" s="457"/>
      <c r="B12" s="460"/>
      <c r="C12" s="460"/>
      <c r="D12" s="239"/>
      <c r="E12" s="240"/>
      <c r="F12" s="235"/>
      <c r="G12" s="235"/>
      <c r="H12" s="243"/>
      <c r="I12" s="236"/>
      <c r="J12" s="238"/>
      <c r="K12" s="463"/>
      <c r="L12" s="461"/>
      <c r="M12" s="239" t="s">
        <v>3</v>
      </c>
      <c r="N12" s="233"/>
      <c r="O12" s="233"/>
      <c r="P12" s="472"/>
      <c r="Q12" s="233"/>
      <c r="R12" s="233"/>
      <c r="S12" s="233">
        <f t="shared" si="1"/>
        <v>0</v>
      </c>
      <c r="T12" s="466"/>
      <c r="V12" s="172"/>
    </row>
    <row r="13" spans="1:22" ht="76.5" customHeight="1" outlineLevel="1" x14ac:dyDescent="0.25">
      <c r="A13" s="467">
        <v>6</v>
      </c>
      <c r="B13" s="468" t="s">
        <v>31</v>
      </c>
      <c r="C13" s="468" t="s">
        <v>52</v>
      </c>
      <c r="D13" s="239"/>
      <c r="E13" s="240"/>
      <c r="F13" s="235"/>
      <c r="G13" s="235"/>
      <c r="H13" s="243"/>
      <c r="I13" s="236"/>
      <c r="J13" s="238"/>
      <c r="K13" s="469" t="s">
        <v>319</v>
      </c>
      <c r="L13" s="470" t="s">
        <v>53</v>
      </c>
      <c r="M13" s="240" t="s">
        <v>35</v>
      </c>
      <c r="N13" s="233">
        <v>83000000</v>
      </c>
      <c r="O13" s="233"/>
      <c r="P13" s="471">
        <v>1.7999999999999999E-2</v>
      </c>
      <c r="Q13" s="233"/>
      <c r="R13" s="233">
        <f>1930326.40003794+103750+103750+103750+103750</f>
        <v>2345326.4000379397</v>
      </c>
      <c r="S13" s="233">
        <f t="shared" si="1"/>
        <v>0</v>
      </c>
      <c r="T13" s="465" t="s">
        <v>41</v>
      </c>
      <c r="V13" s="172"/>
    </row>
    <row r="14" spans="1:22" ht="76.5" customHeight="1" outlineLevel="1" x14ac:dyDescent="0.25">
      <c r="A14" s="457"/>
      <c r="B14" s="460"/>
      <c r="C14" s="460"/>
      <c r="D14" s="239"/>
      <c r="E14" s="240"/>
      <c r="F14" s="235"/>
      <c r="G14" s="235"/>
      <c r="H14" s="243"/>
      <c r="I14" s="236"/>
      <c r="J14" s="238"/>
      <c r="K14" s="463"/>
      <c r="L14" s="461"/>
      <c r="M14" s="239" t="s">
        <v>3</v>
      </c>
      <c r="N14" s="233"/>
      <c r="O14" s="233"/>
      <c r="P14" s="472"/>
      <c r="Q14" s="233"/>
      <c r="R14" s="233"/>
      <c r="S14" s="233">
        <f t="shared" si="1"/>
        <v>0</v>
      </c>
      <c r="T14" s="466"/>
      <c r="U14" s="178"/>
      <c r="V14" s="172"/>
    </row>
    <row r="15" spans="1:22" ht="96.75" customHeight="1" outlineLevel="1" x14ac:dyDescent="0.25">
      <c r="A15" s="458">
        <v>7</v>
      </c>
      <c r="B15" s="468" t="s">
        <v>31</v>
      </c>
      <c r="C15" s="468" t="s">
        <v>54</v>
      </c>
      <c r="D15" s="462" t="s">
        <v>55</v>
      </c>
      <c r="E15" s="473" t="s">
        <v>57</v>
      </c>
      <c r="F15" s="530">
        <v>39000000</v>
      </c>
      <c r="G15" s="530">
        <f>18026903.76+130476.4+43674.47+204502+159552.28+20280.3+101559+88268.89+153855.7+63854.08</f>
        <v>18992926.879999999</v>
      </c>
      <c r="H15" s="473" t="s">
        <v>462</v>
      </c>
      <c r="I15" s="529"/>
      <c r="J15" s="529">
        <f t="shared" si="0"/>
        <v>18992926.879999999</v>
      </c>
      <c r="K15" s="464" t="s">
        <v>320</v>
      </c>
      <c r="L15" s="462" t="s">
        <v>56</v>
      </c>
      <c r="M15" s="240" t="s">
        <v>57</v>
      </c>
      <c r="N15" s="233">
        <f>35500000-1434414.8</f>
        <v>34065585.200000003</v>
      </c>
      <c r="O15" s="233">
        <v>34065585.200000003</v>
      </c>
      <c r="P15" s="473" t="s">
        <v>387</v>
      </c>
      <c r="Q15" s="233">
        <f>3406558.5+438685248.4/386.33</f>
        <v>4542077.9999094037</v>
      </c>
      <c r="R15" s="233">
        <f>6927866.15+372600334/386.33</f>
        <v>7892327.4499249347</v>
      </c>
      <c r="S15" s="233">
        <f t="shared" si="1"/>
        <v>29523507.200090598</v>
      </c>
      <c r="T15" s="465" t="s">
        <v>58</v>
      </c>
      <c r="U15" s="178"/>
      <c r="V15" s="172"/>
    </row>
    <row r="16" spans="1:22" ht="68.25" customHeight="1" outlineLevel="1" x14ac:dyDescent="0.25">
      <c r="A16" s="458"/>
      <c r="B16" s="460"/>
      <c r="C16" s="460"/>
      <c r="D16" s="462"/>
      <c r="E16" s="473"/>
      <c r="F16" s="530"/>
      <c r="G16" s="530"/>
      <c r="H16" s="473"/>
      <c r="I16" s="529"/>
      <c r="J16" s="529"/>
      <c r="K16" s="464"/>
      <c r="L16" s="462"/>
      <c r="M16" s="239" t="s">
        <v>3</v>
      </c>
      <c r="N16" s="233"/>
      <c r="O16" s="233">
        <v>3680136115.8000002</v>
      </c>
      <c r="P16" s="473"/>
      <c r="Q16" s="233">
        <f>387003402.1+121967878.3</f>
        <v>508971280.40000004</v>
      </c>
      <c r="R16" s="233">
        <f>743758864.24+103594252.5</f>
        <v>847353116.74000001</v>
      </c>
      <c r="S16" s="233">
        <f t="shared" si="1"/>
        <v>3171164835.4000001</v>
      </c>
      <c r="T16" s="466"/>
      <c r="U16" s="178"/>
      <c r="V16" s="172"/>
    </row>
    <row r="17" spans="1:21" s="169" customFormat="1" ht="81" customHeight="1" outlineLevel="1" x14ac:dyDescent="0.25">
      <c r="A17" s="467">
        <v>8</v>
      </c>
      <c r="B17" s="468" t="s">
        <v>31</v>
      </c>
      <c r="C17" s="468" t="s">
        <v>59</v>
      </c>
      <c r="D17" s="470" t="s">
        <v>55</v>
      </c>
      <c r="E17" s="236" t="s">
        <v>57</v>
      </c>
      <c r="F17" s="235">
        <v>40000000</v>
      </c>
      <c r="G17" s="238">
        <v>100000</v>
      </c>
      <c r="H17" s="236" t="s">
        <v>462</v>
      </c>
      <c r="I17" s="238">
        <v>0</v>
      </c>
      <c r="J17" s="238">
        <f>G17-I17</f>
        <v>100000</v>
      </c>
      <c r="K17" s="469" t="s">
        <v>321</v>
      </c>
      <c r="L17" s="469" t="s">
        <v>60</v>
      </c>
      <c r="M17" s="240" t="s">
        <v>57</v>
      </c>
      <c r="N17" s="235">
        <f>40000000-2500000-1500000</f>
        <v>36000000</v>
      </c>
      <c r="O17" s="233">
        <v>23800757.16</v>
      </c>
      <c r="P17" s="243" t="s">
        <v>387</v>
      </c>
      <c r="Q17" s="233">
        <v>0</v>
      </c>
      <c r="R17" s="233">
        <v>4091306.4512348948</v>
      </c>
      <c r="S17" s="233">
        <f t="shared" si="1"/>
        <v>23800757.16</v>
      </c>
      <c r="T17" s="465" t="s">
        <v>58</v>
      </c>
      <c r="U17" s="245"/>
    </row>
    <row r="18" spans="1:21" s="169" customFormat="1" ht="39.75" customHeight="1" outlineLevel="1" x14ac:dyDescent="0.25">
      <c r="A18" s="457"/>
      <c r="B18" s="460"/>
      <c r="C18" s="460"/>
      <c r="D18" s="461"/>
      <c r="E18" s="236"/>
      <c r="F18" s="235"/>
      <c r="G18" s="238"/>
      <c r="H18" s="236"/>
      <c r="I18" s="238"/>
      <c r="J18" s="238"/>
      <c r="K18" s="463"/>
      <c r="L18" s="463"/>
      <c r="M18" s="239" t="s">
        <v>3</v>
      </c>
      <c r="N18" s="235"/>
      <c r="O18" s="233">
        <v>1014345134.8000001</v>
      </c>
      <c r="P18" s="243"/>
      <c r="Q18" s="233">
        <v>563212.19999999995</v>
      </c>
      <c r="R18" s="233">
        <v>165583419.29999998</v>
      </c>
      <c r="S18" s="233">
        <f t="shared" si="1"/>
        <v>1013781922.6</v>
      </c>
      <c r="T18" s="466"/>
      <c r="U18" s="245"/>
    </row>
    <row r="19" spans="1:21" s="172" customFormat="1" ht="70.5" customHeight="1" outlineLevel="1" x14ac:dyDescent="0.25">
      <c r="A19" s="467">
        <v>9</v>
      </c>
      <c r="B19" s="474" t="s">
        <v>31</v>
      </c>
      <c r="C19" s="468" t="s">
        <v>61</v>
      </c>
      <c r="D19" s="470" t="s">
        <v>55</v>
      </c>
      <c r="E19" s="473" t="s">
        <v>57</v>
      </c>
      <c r="F19" s="530">
        <v>52000000</v>
      </c>
      <c r="G19" s="529">
        <v>130000</v>
      </c>
      <c r="H19" s="473" t="s">
        <v>462</v>
      </c>
      <c r="I19" s="529"/>
      <c r="J19" s="529">
        <f>G19-I19</f>
        <v>130000</v>
      </c>
      <c r="K19" s="469" t="s">
        <v>322</v>
      </c>
      <c r="L19" s="469" t="s">
        <v>62</v>
      </c>
      <c r="M19" s="240" t="s">
        <v>57</v>
      </c>
      <c r="N19" s="235">
        <v>23194486</v>
      </c>
      <c r="O19" s="233">
        <v>11131836.780000001</v>
      </c>
      <c r="P19" s="471" t="s">
        <v>387</v>
      </c>
      <c r="Q19" s="233">
        <v>0</v>
      </c>
      <c r="R19" s="233">
        <f>1316813.632+122778919.2/386.33</f>
        <v>1634622.032072477</v>
      </c>
      <c r="S19" s="233">
        <f t="shared" si="1"/>
        <v>11131836.780000001</v>
      </c>
      <c r="T19" s="465" t="s">
        <v>58</v>
      </c>
      <c r="U19" s="178"/>
    </row>
    <row r="20" spans="1:21" s="172" customFormat="1" ht="54.75" customHeight="1" outlineLevel="1" x14ac:dyDescent="0.25">
      <c r="A20" s="457"/>
      <c r="B20" s="475"/>
      <c r="C20" s="476"/>
      <c r="D20" s="477"/>
      <c r="E20" s="473"/>
      <c r="F20" s="530"/>
      <c r="G20" s="529"/>
      <c r="H20" s="473"/>
      <c r="I20" s="529"/>
      <c r="J20" s="529"/>
      <c r="K20" s="463"/>
      <c r="L20" s="463"/>
      <c r="M20" s="239" t="s">
        <v>3</v>
      </c>
      <c r="N20" s="235"/>
      <c r="O20" s="233">
        <f>1415958093.3+500000</f>
        <v>1416458093.3</v>
      </c>
      <c r="P20" s="478"/>
      <c r="Q20" s="233">
        <v>91463799.799999997</v>
      </c>
      <c r="R20" s="233">
        <f>119885553.7+36155098.5</f>
        <v>156040652.19999999</v>
      </c>
      <c r="S20" s="233">
        <f t="shared" si="1"/>
        <v>1324994293.5</v>
      </c>
      <c r="T20" s="466"/>
      <c r="U20" s="178"/>
    </row>
    <row r="21" spans="1:21" s="172" customFormat="1" ht="60" customHeight="1" outlineLevel="1" x14ac:dyDescent="0.25">
      <c r="A21" s="467">
        <v>10</v>
      </c>
      <c r="B21" s="474" t="s">
        <v>63</v>
      </c>
      <c r="C21" s="476"/>
      <c r="D21" s="477"/>
      <c r="E21" s="473"/>
      <c r="F21" s="530"/>
      <c r="G21" s="529"/>
      <c r="H21" s="473"/>
      <c r="I21" s="529"/>
      <c r="J21" s="529"/>
      <c r="K21" s="469" t="s">
        <v>323</v>
      </c>
      <c r="L21" s="469" t="s">
        <v>62</v>
      </c>
      <c r="M21" s="240" t="s">
        <v>57</v>
      </c>
      <c r="N21" s="233">
        <v>16662617.070000002</v>
      </c>
      <c r="O21" s="233">
        <v>16662617.070000002</v>
      </c>
      <c r="P21" s="478"/>
      <c r="Q21" s="233"/>
      <c r="R21" s="233">
        <f>2194958+182027405/386.38</f>
        <v>2666067.8012319477</v>
      </c>
      <c r="S21" s="233">
        <f t="shared" si="1"/>
        <v>16662617.070000002</v>
      </c>
      <c r="T21" s="465" t="s">
        <v>58</v>
      </c>
      <c r="U21" s="178"/>
    </row>
    <row r="22" spans="1:21" s="172" customFormat="1" ht="40.5" customHeight="1" outlineLevel="1" x14ac:dyDescent="0.25">
      <c r="A22" s="457"/>
      <c r="B22" s="475"/>
      <c r="C22" s="460"/>
      <c r="D22" s="461"/>
      <c r="E22" s="246"/>
      <c r="F22" s="247"/>
      <c r="G22" s="248"/>
      <c r="H22" s="246"/>
      <c r="I22" s="248"/>
      <c r="J22" s="248"/>
      <c r="K22" s="463"/>
      <c r="L22" s="463"/>
      <c r="M22" s="240" t="s">
        <v>3</v>
      </c>
      <c r="N22" s="202"/>
      <c r="O22" s="233">
        <v>2003005775.2</v>
      </c>
      <c r="P22" s="472"/>
      <c r="Q22" s="233"/>
      <c r="R22" s="233">
        <f>238604865.8+56631905</f>
        <v>295236770.80000001</v>
      </c>
      <c r="S22" s="233">
        <f t="shared" si="1"/>
        <v>2003005775.2</v>
      </c>
      <c r="T22" s="466"/>
      <c r="U22" s="178"/>
    </row>
    <row r="23" spans="1:21" s="172" customFormat="1" ht="57.75" customHeight="1" outlineLevel="1" x14ac:dyDescent="0.25">
      <c r="A23" s="467">
        <v>11</v>
      </c>
      <c r="B23" s="474" t="s">
        <v>31</v>
      </c>
      <c r="C23" s="468" t="s">
        <v>64</v>
      </c>
      <c r="D23" s="470" t="s">
        <v>65</v>
      </c>
      <c r="E23" s="534" t="s">
        <v>463</v>
      </c>
      <c r="F23" s="537">
        <v>24022000</v>
      </c>
      <c r="G23" s="531">
        <f>O23+O25</f>
        <v>18384172.012149811</v>
      </c>
      <c r="H23" s="534">
        <v>0.02</v>
      </c>
      <c r="I23" s="531">
        <v>0</v>
      </c>
      <c r="J23" s="531">
        <f>G23-I23</f>
        <v>18384172.012149811</v>
      </c>
      <c r="K23" s="469" t="s">
        <v>321</v>
      </c>
      <c r="L23" s="470" t="s">
        <v>66</v>
      </c>
      <c r="M23" s="240" t="s">
        <v>67</v>
      </c>
      <c r="N23" s="249">
        <v>13988153</v>
      </c>
      <c r="O23" s="233">
        <v>8262785.6411363389</v>
      </c>
      <c r="P23" s="471">
        <v>3.1399999999999997E-2</v>
      </c>
      <c r="Q23" s="233">
        <f>1430873.60020494+107795234.9/520.68</f>
        <v>1637901.4001972578</v>
      </c>
      <c r="R23" s="233">
        <f>1219413.93+55848657.5/520.68</f>
        <v>1326674.9300384112</v>
      </c>
      <c r="S23" s="233">
        <f t="shared" si="1"/>
        <v>6624884.2409390807</v>
      </c>
      <c r="T23" s="465" t="s">
        <v>58</v>
      </c>
      <c r="U23" s="178"/>
    </row>
    <row r="24" spans="1:21" s="172" customFormat="1" ht="32.25" customHeight="1" outlineLevel="1" x14ac:dyDescent="0.25">
      <c r="A24" s="457"/>
      <c r="B24" s="475"/>
      <c r="C24" s="476"/>
      <c r="D24" s="477"/>
      <c r="E24" s="535"/>
      <c r="F24" s="538"/>
      <c r="G24" s="532"/>
      <c r="H24" s="535"/>
      <c r="I24" s="532"/>
      <c r="J24" s="532"/>
      <c r="K24" s="463"/>
      <c r="L24" s="461"/>
      <c r="M24" s="239" t="s">
        <v>3</v>
      </c>
      <c r="N24" s="250"/>
      <c r="O24" s="233">
        <v>1194787815</v>
      </c>
      <c r="P24" s="472"/>
      <c r="Q24" s="233">
        <f>209123295.3+29868621.8</f>
        <v>238991917.10000002</v>
      </c>
      <c r="R24" s="233">
        <f>177460224.6+15474933</f>
        <v>192935157.59999999</v>
      </c>
      <c r="S24" s="233">
        <f t="shared" si="1"/>
        <v>955795897.89999998</v>
      </c>
      <c r="T24" s="466"/>
      <c r="U24" s="178"/>
    </row>
    <row r="25" spans="1:21" s="172" customFormat="1" ht="51.75" customHeight="1" outlineLevel="1" x14ac:dyDescent="0.25">
      <c r="A25" s="467">
        <v>12</v>
      </c>
      <c r="B25" s="474" t="s">
        <v>68</v>
      </c>
      <c r="C25" s="476"/>
      <c r="D25" s="477"/>
      <c r="E25" s="535"/>
      <c r="F25" s="538"/>
      <c r="G25" s="532"/>
      <c r="H25" s="535"/>
      <c r="I25" s="532"/>
      <c r="J25" s="532"/>
      <c r="K25" s="469" t="s">
        <v>324</v>
      </c>
      <c r="L25" s="470" t="s">
        <v>66</v>
      </c>
      <c r="M25" s="240" t="s">
        <v>67</v>
      </c>
      <c r="N25" s="249">
        <v>10098535</v>
      </c>
      <c r="O25" s="233">
        <v>10121386.37101347</v>
      </c>
      <c r="P25" s="471">
        <v>3.1399999999999997E-2</v>
      </c>
      <c r="Q25" s="233">
        <f>1520990.1+136750579/520.29</f>
        <v>1783825.40146649</v>
      </c>
      <c r="R25" s="233">
        <f>832426.027338+83294453/525+70252782/520.29</f>
        <v>1126108.3290630269</v>
      </c>
      <c r="S25" s="233">
        <f t="shared" si="1"/>
        <v>8337560.9695469802</v>
      </c>
      <c r="T25" s="465" t="s">
        <v>58</v>
      </c>
      <c r="U25" s="178"/>
    </row>
    <row r="26" spans="1:21" s="172" customFormat="1" ht="32.25" customHeight="1" outlineLevel="1" x14ac:dyDescent="0.25">
      <c r="A26" s="457"/>
      <c r="B26" s="475"/>
      <c r="C26" s="460"/>
      <c r="D26" s="461"/>
      <c r="E26" s="536"/>
      <c r="F26" s="539"/>
      <c r="G26" s="533"/>
      <c r="H26" s="536"/>
      <c r="I26" s="533"/>
      <c r="J26" s="533"/>
      <c r="K26" s="463"/>
      <c r="L26" s="461"/>
      <c r="M26" s="239" t="s">
        <v>3</v>
      </c>
      <c r="N26" s="250"/>
      <c r="O26" s="233">
        <v>794162455.89999998</v>
      </c>
      <c r="P26" s="472"/>
      <c r="Q26" s="233">
        <f>123592049.7+20623615</f>
        <v>144215664.69999999</v>
      </c>
      <c r="R26" s="233">
        <f>78534680.8+10527955</f>
        <v>89062635.799999997</v>
      </c>
      <c r="S26" s="233">
        <f t="shared" si="1"/>
        <v>649946791.20000005</v>
      </c>
      <c r="T26" s="466"/>
      <c r="U26" s="178"/>
    </row>
    <row r="27" spans="1:21" s="172" customFormat="1" ht="48" customHeight="1" outlineLevel="1" x14ac:dyDescent="0.25">
      <c r="A27" s="241">
        <v>13</v>
      </c>
      <c r="B27" s="237" t="s">
        <v>31</v>
      </c>
      <c r="C27" s="480" t="s">
        <v>69</v>
      </c>
      <c r="D27" s="462" t="s">
        <v>70</v>
      </c>
      <c r="E27" s="236" t="s">
        <v>464</v>
      </c>
      <c r="F27" s="529">
        <v>15000000</v>
      </c>
      <c r="G27" s="529">
        <v>15000000</v>
      </c>
      <c r="H27" s="541">
        <v>1.4500000000000001E-2</v>
      </c>
      <c r="I27" s="529">
        <v>2437500</v>
      </c>
      <c r="J27" s="529">
        <f>G27-I27</f>
        <v>12562500</v>
      </c>
      <c r="K27" s="244" t="s">
        <v>325</v>
      </c>
      <c r="L27" s="239" t="s">
        <v>71</v>
      </c>
      <c r="M27" s="240" t="s">
        <v>57</v>
      </c>
      <c r="N27" s="233">
        <v>19600000</v>
      </c>
      <c r="O27" s="233">
        <v>19419334.870000001</v>
      </c>
      <c r="P27" s="251">
        <v>5.0000000000000001E-3</v>
      </c>
      <c r="Q27" s="233">
        <f>9716960.66852489+189584407.5/488.5+172026989.7/443.26+153375144/395.2+150045288.9/386.62</f>
        <v>11269340.668524889</v>
      </c>
      <c r="R27" s="233">
        <f>1129921.93024286+16077756.3/488.5+14096288.6/443.26+12233850.7/395.2+11546870.2/386.62</f>
        <v>1255458.1302620166</v>
      </c>
      <c r="S27" s="233">
        <f t="shared" si="1"/>
        <v>8149994.2014751118</v>
      </c>
      <c r="T27" s="324" t="s">
        <v>58</v>
      </c>
      <c r="U27" s="178"/>
    </row>
    <row r="28" spans="1:21" s="172" customFormat="1" ht="60" customHeight="1" outlineLevel="1" x14ac:dyDescent="0.25">
      <c r="A28" s="241">
        <v>14</v>
      </c>
      <c r="B28" s="237" t="s">
        <v>68</v>
      </c>
      <c r="C28" s="480"/>
      <c r="D28" s="462"/>
      <c r="E28" s="236" t="s">
        <v>464</v>
      </c>
      <c r="F28" s="529"/>
      <c r="G28" s="529"/>
      <c r="H28" s="541"/>
      <c r="I28" s="529"/>
      <c r="J28" s="529"/>
      <c r="K28" s="244" t="s">
        <v>326</v>
      </c>
      <c r="L28" s="239" t="s">
        <v>72</v>
      </c>
      <c r="M28" s="240" t="s">
        <v>57</v>
      </c>
      <c r="N28" s="233">
        <v>297276.53999999998</v>
      </c>
      <c r="O28" s="233">
        <v>297276.53999999998</v>
      </c>
      <c r="P28" s="243" t="s">
        <v>73</v>
      </c>
      <c r="Q28" s="233">
        <f>257638.543537781+4361667/440.15+3916234/395.2+3837157/387.22</f>
        <v>287367.04489083763</v>
      </c>
      <c r="R28" s="233">
        <f>229541.53251276+1912186/489.99+1556591/440.15+1259898/395.2+1094284/387.22</f>
        <v>242994.53549180552</v>
      </c>
      <c r="S28" s="233">
        <f t="shared" si="1"/>
        <v>9909.4951091623516</v>
      </c>
      <c r="T28" s="324" t="s">
        <v>58</v>
      </c>
      <c r="U28" s="178"/>
    </row>
    <row r="29" spans="1:21" s="169" customFormat="1" ht="51" customHeight="1" outlineLevel="1" x14ac:dyDescent="0.25">
      <c r="A29" s="241">
        <v>15</v>
      </c>
      <c r="B29" s="237" t="s">
        <v>68</v>
      </c>
      <c r="C29" s="479" t="s">
        <v>74</v>
      </c>
      <c r="D29" s="462" t="s">
        <v>75</v>
      </c>
      <c r="E29" s="473" t="s">
        <v>77</v>
      </c>
      <c r="F29" s="530">
        <f>5075000000+324000000</f>
        <v>5399000000</v>
      </c>
      <c r="G29" s="529">
        <f>5062807492+305504477</f>
        <v>5368311969</v>
      </c>
      <c r="H29" s="540" t="s">
        <v>465</v>
      </c>
      <c r="I29" s="529">
        <f>1729684492+71162477</f>
        <v>1800846969</v>
      </c>
      <c r="J29" s="529">
        <f>G29-I29</f>
        <v>3567465000</v>
      </c>
      <c r="K29" s="244" t="s">
        <v>327</v>
      </c>
      <c r="L29" s="239" t="s">
        <v>76</v>
      </c>
      <c r="M29" s="239" t="s">
        <v>77</v>
      </c>
      <c r="N29" s="233">
        <v>1571940173.3299999</v>
      </c>
      <c r="O29" s="233">
        <v>1598519063</v>
      </c>
      <c r="P29" s="251">
        <v>1.7999999999999999E-2</v>
      </c>
      <c r="Q29" s="233">
        <f>1030178646.5+123394332/3.026+109815247/2.693</f>
        <v>1111734715.4027808</v>
      </c>
      <c r="R29" s="233">
        <f>226837831.925937+13873556/3.026+11211247/2.693</f>
        <v>235585722.74296552</v>
      </c>
      <c r="S29" s="233">
        <f t="shared" si="1"/>
        <v>486784347.59721923</v>
      </c>
      <c r="T29" s="324" t="s">
        <v>58</v>
      </c>
      <c r="U29" s="245"/>
    </row>
    <row r="30" spans="1:21" s="169" customFormat="1" ht="41.25" customHeight="1" outlineLevel="1" x14ac:dyDescent="0.25">
      <c r="A30" s="241">
        <v>16</v>
      </c>
      <c r="B30" s="242" t="s">
        <v>78</v>
      </c>
      <c r="C30" s="479"/>
      <c r="D30" s="462"/>
      <c r="E30" s="473"/>
      <c r="F30" s="530"/>
      <c r="G30" s="529"/>
      <c r="H30" s="540"/>
      <c r="I30" s="529"/>
      <c r="J30" s="529"/>
      <c r="K30" s="244" t="s">
        <v>328</v>
      </c>
      <c r="L30" s="239" t="s">
        <v>76</v>
      </c>
      <c r="M30" s="239" t="s">
        <v>77</v>
      </c>
      <c r="N30" s="233">
        <v>3796371795.6700001</v>
      </c>
      <c r="O30" s="233">
        <v>3861444249</v>
      </c>
      <c r="P30" s="251">
        <v>1.7999999999999999E-2</v>
      </c>
      <c r="Q30" s="233">
        <f>2513837447.56+291897058.6/3.026+259774877.3/2.693</f>
        <v>2706763461.1630621</v>
      </c>
      <c r="R30" s="233">
        <f>553224853.256799+32762341/3.026+26475306.9/2.693</f>
        <v>573882957.45934212</v>
      </c>
      <c r="S30" s="233">
        <f t="shared" si="1"/>
        <v>1154680787.8369379</v>
      </c>
      <c r="T30" s="324" t="s">
        <v>58</v>
      </c>
      <c r="U30" s="245"/>
    </row>
    <row r="31" spans="1:21" s="172" customFormat="1" ht="33.75" customHeight="1" outlineLevel="1" x14ac:dyDescent="0.25">
      <c r="A31" s="458">
        <v>17</v>
      </c>
      <c r="B31" s="479" t="s">
        <v>79</v>
      </c>
      <c r="C31" s="480" t="s">
        <v>80</v>
      </c>
      <c r="D31" s="462" t="s">
        <v>70</v>
      </c>
      <c r="E31" s="473" t="s">
        <v>464</v>
      </c>
      <c r="F31" s="529">
        <v>10000000</v>
      </c>
      <c r="G31" s="529">
        <v>9972457.2400000002</v>
      </c>
      <c r="H31" s="541">
        <v>1.4500000000000001E-2</v>
      </c>
      <c r="I31" s="529">
        <v>0</v>
      </c>
      <c r="J31" s="529">
        <f>G31-I31</f>
        <v>9972457.2400000002</v>
      </c>
      <c r="K31" s="464" t="s">
        <v>329</v>
      </c>
      <c r="L31" s="462" t="s">
        <v>81</v>
      </c>
      <c r="M31" s="240" t="s">
        <v>57</v>
      </c>
      <c r="N31" s="233">
        <v>4846628.13</v>
      </c>
      <c r="O31" s="233">
        <v>4737831.22</v>
      </c>
      <c r="P31" s="243">
        <v>7.4999999999999997E-3</v>
      </c>
      <c r="Q31" s="233">
        <f>616176.07+18729201/386.44</f>
        <v>664642.06989649101</v>
      </c>
      <c r="R31" s="233">
        <f>353441.51+5923430/386.44</f>
        <v>368769.71101438778</v>
      </c>
      <c r="S31" s="233">
        <f t="shared" si="1"/>
        <v>4073189.1501035085</v>
      </c>
      <c r="T31" s="324" t="s">
        <v>82</v>
      </c>
      <c r="U31" s="178"/>
    </row>
    <row r="32" spans="1:21" s="172" customFormat="1" ht="41.25" customHeight="1" outlineLevel="1" x14ac:dyDescent="0.25">
      <c r="A32" s="458"/>
      <c r="B32" s="479"/>
      <c r="C32" s="480"/>
      <c r="D32" s="462"/>
      <c r="E32" s="473"/>
      <c r="F32" s="529"/>
      <c r="G32" s="529"/>
      <c r="H32" s="541"/>
      <c r="I32" s="529"/>
      <c r="J32" s="529"/>
      <c r="K32" s="464"/>
      <c r="L32" s="462"/>
      <c r="M32" s="239" t="s">
        <v>3</v>
      </c>
      <c r="N32" s="233">
        <v>1740568345.9000001</v>
      </c>
      <c r="O32" s="233">
        <v>1740568345.9000001</v>
      </c>
      <c r="P32" s="243">
        <v>7.4999999999999997E-3</v>
      </c>
      <c r="Q32" s="233">
        <f>247100359+17402579</f>
        <v>264502938</v>
      </c>
      <c r="R32" s="233">
        <f>128165336.87+5554115.8</f>
        <v>133719452.67</v>
      </c>
      <c r="S32" s="233">
        <f t="shared" si="1"/>
        <v>1476065407.9000001</v>
      </c>
      <c r="T32" s="324" t="s">
        <v>82</v>
      </c>
      <c r="U32" s="178"/>
    </row>
    <row r="33" spans="1:22" ht="87" customHeight="1" outlineLevel="1" x14ac:dyDescent="0.25">
      <c r="A33" s="241">
        <v>18</v>
      </c>
      <c r="B33" s="237" t="s">
        <v>83</v>
      </c>
      <c r="C33" s="242" t="s">
        <v>84</v>
      </c>
      <c r="D33" s="239" t="s">
        <v>33</v>
      </c>
      <c r="E33" s="236" t="s">
        <v>466</v>
      </c>
      <c r="F33" s="238">
        <f>12782297+5112919</f>
        <v>17895216</v>
      </c>
      <c r="G33" s="238">
        <f>12782297+5112919</f>
        <v>17895216</v>
      </c>
      <c r="H33" s="236"/>
      <c r="I33" s="235">
        <f>2687350+357904</f>
        <v>3045254</v>
      </c>
      <c r="J33" s="238">
        <f>G33-I33</f>
        <v>14849962</v>
      </c>
      <c r="K33" s="244" t="s">
        <v>330</v>
      </c>
      <c r="L33" s="244" t="s">
        <v>85</v>
      </c>
      <c r="M33" s="240" t="s">
        <v>35</v>
      </c>
      <c r="N33" s="252">
        <v>17895215.550000001</v>
      </c>
      <c r="O33" s="233">
        <v>17895215.550000001</v>
      </c>
      <c r="P33" s="243">
        <v>7.4999999999999997E-3</v>
      </c>
      <c r="Q33" s="233">
        <f>7748628.1+130294835.3/415.04</f>
        <v>8062561.2999325357</v>
      </c>
      <c r="R33" s="233">
        <f>2568161.28+12471869/415.04+3320320/414.34</f>
        <v>2606224.5954896617</v>
      </c>
      <c r="S33" s="233">
        <f t="shared" si="1"/>
        <v>9832654.250067465</v>
      </c>
      <c r="T33" s="324" t="s">
        <v>58</v>
      </c>
      <c r="U33" s="178"/>
      <c r="V33" s="172"/>
    </row>
    <row r="34" spans="1:22" ht="40.5" customHeight="1" outlineLevel="1" x14ac:dyDescent="0.25">
      <c r="A34" s="458">
        <v>19</v>
      </c>
      <c r="B34" s="474" t="s">
        <v>86</v>
      </c>
      <c r="C34" s="480" t="s">
        <v>87</v>
      </c>
      <c r="D34" s="480" t="s">
        <v>288</v>
      </c>
      <c r="E34" s="542" t="s">
        <v>35</v>
      </c>
      <c r="F34" s="253">
        <v>14500000</v>
      </c>
      <c r="G34" s="253"/>
      <c r="H34" s="242"/>
      <c r="I34" s="254"/>
      <c r="J34" s="253">
        <f>G34-I34</f>
        <v>0</v>
      </c>
      <c r="K34" s="480" t="s">
        <v>331</v>
      </c>
      <c r="L34" s="242" t="s">
        <v>88</v>
      </c>
      <c r="M34" s="240" t="s">
        <v>35</v>
      </c>
      <c r="N34" s="255">
        <v>22000000</v>
      </c>
      <c r="O34" s="233">
        <v>21247150.510000002</v>
      </c>
      <c r="P34" s="256" t="s">
        <v>89</v>
      </c>
      <c r="Q34" s="233">
        <f>1047000+1047000+1047000+1047000+1047000+1047000</f>
        <v>6282000</v>
      </c>
      <c r="R34" s="233">
        <v>1901527.4</v>
      </c>
      <c r="S34" s="232">
        <f>O34-Q34</f>
        <v>14965150.510000002</v>
      </c>
      <c r="T34" s="465" t="s">
        <v>473</v>
      </c>
      <c r="U34" s="178"/>
      <c r="V34" s="172"/>
    </row>
    <row r="35" spans="1:22" ht="31.5" customHeight="1" outlineLevel="1" x14ac:dyDescent="0.25">
      <c r="A35" s="458"/>
      <c r="B35" s="486"/>
      <c r="C35" s="480"/>
      <c r="D35" s="480"/>
      <c r="E35" s="542"/>
      <c r="F35" s="253">
        <v>14500000</v>
      </c>
      <c r="G35" s="253">
        <v>697853.84</v>
      </c>
      <c r="H35" s="242"/>
      <c r="I35" s="254"/>
      <c r="J35" s="253">
        <f>G35-I35</f>
        <v>697853.84</v>
      </c>
      <c r="K35" s="480"/>
      <c r="L35" s="242" t="s">
        <v>91</v>
      </c>
      <c r="M35" s="240" t="s">
        <v>35</v>
      </c>
      <c r="N35" s="255">
        <v>14500000</v>
      </c>
      <c r="O35" s="233">
        <v>14491281.059999999</v>
      </c>
      <c r="P35" s="256" t="s">
        <v>36</v>
      </c>
      <c r="Q35" s="233">
        <f>241000+241000+241000+241000+241000+241000</f>
        <v>1446000</v>
      </c>
      <c r="R35" s="233">
        <v>579706.23</v>
      </c>
      <c r="S35" s="232">
        <f>O35-Q35</f>
        <v>13045281.059999999</v>
      </c>
      <c r="T35" s="481"/>
      <c r="U35" s="178"/>
      <c r="V35" s="172"/>
    </row>
    <row r="36" spans="1:22" ht="42.75" customHeight="1" outlineLevel="1" x14ac:dyDescent="0.25">
      <c r="A36" s="458"/>
      <c r="B36" s="475"/>
      <c r="C36" s="480"/>
      <c r="D36" s="480"/>
      <c r="E36" s="542"/>
      <c r="F36" s="253">
        <v>22000000</v>
      </c>
      <c r="G36" s="253"/>
      <c r="H36" s="242"/>
      <c r="I36" s="254"/>
      <c r="J36" s="253">
        <f>G36-I36</f>
        <v>0</v>
      </c>
      <c r="K36" s="480"/>
      <c r="L36" s="242" t="s">
        <v>92</v>
      </c>
      <c r="M36" s="240" t="s">
        <v>35</v>
      </c>
      <c r="N36" s="255">
        <v>14500000</v>
      </c>
      <c r="O36" s="233">
        <v>14500000.000000002</v>
      </c>
      <c r="P36" s="256" t="s">
        <v>93</v>
      </c>
      <c r="Q36" s="233">
        <f>2519999.6+630000+630000</f>
        <v>3779999.6</v>
      </c>
      <c r="R36" s="233">
        <v>2115062.19</v>
      </c>
      <c r="S36" s="232">
        <f>O36-Q36</f>
        <v>10720000.400000002</v>
      </c>
      <c r="T36" s="466"/>
      <c r="U36" s="178"/>
      <c r="V36" s="172"/>
    </row>
    <row r="37" spans="1:22" ht="94.5" customHeight="1" outlineLevel="1" x14ac:dyDescent="0.25">
      <c r="A37" s="241">
        <v>20</v>
      </c>
      <c r="B37" s="242" t="s">
        <v>94</v>
      </c>
      <c r="C37" s="237" t="s">
        <v>95</v>
      </c>
      <c r="D37" s="239" t="s">
        <v>75</v>
      </c>
      <c r="E37" s="236" t="s">
        <v>77</v>
      </c>
      <c r="F37" s="257">
        <v>26409000000</v>
      </c>
      <c r="G37" s="238">
        <v>26399286331</v>
      </c>
      <c r="H37" s="256">
        <v>7.4999999999999997E-3</v>
      </c>
      <c r="I37" s="238">
        <v>432846331</v>
      </c>
      <c r="J37" s="253">
        <f>G37-I37</f>
        <v>25966440000</v>
      </c>
      <c r="K37" s="244" t="s">
        <v>332</v>
      </c>
      <c r="L37" s="239" t="s">
        <v>96</v>
      </c>
      <c r="M37" s="239" t="s">
        <v>77</v>
      </c>
      <c r="N37" s="257">
        <v>26409000000</v>
      </c>
      <c r="O37" s="233">
        <v>26399286331</v>
      </c>
      <c r="P37" s="243">
        <v>7.4999999999999997E-3</v>
      </c>
      <c r="Q37" s="233">
        <v>7357230331.1683521</v>
      </c>
      <c r="R37" s="233">
        <v>2607354309.0699525</v>
      </c>
      <c r="S37" s="238">
        <f t="shared" ref="S37:S46" si="2">O37-Q37</f>
        <v>19042055999.83165</v>
      </c>
      <c r="T37" s="324" t="s">
        <v>97</v>
      </c>
      <c r="U37" s="178"/>
      <c r="V37" s="172"/>
    </row>
    <row r="38" spans="1:22" ht="51.75" customHeight="1" outlineLevel="1" x14ac:dyDescent="0.25">
      <c r="A38" s="241">
        <v>21</v>
      </c>
      <c r="B38" s="237" t="s">
        <v>31</v>
      </c>
      <c r="C38" s="242" t="s">
        <v>98</v>
      </c>
      <c r="D38" s="242" t="s">
        <v>99</v>
      </c>
      <c r="E38" s="236"/>
      <c r="F38" s="236"/>
      <c r="G38" s="236"/>
      <c r="H38" s="236"/>
      <c r="I38" s="236"/>
      <c r="J38" s="236"/>
      <c r="K38" s="244" t="s">
        <v>333</v>
      </c>
      <c r="L38" s="239" t="s">
        <v>100</v>
      </c>
      <c r="M38" s="240" t="s">
        <v>57</v>
      </c>
      <c r="N38" s="233">
        <v>8988290</v>
      </c>
      <c r="O38" s="233">
        <v>8988290</v>
      </c>
      <c r="P38" s="251">
        <v>5.0000000000000001E-3</v>
      </c>
      <c r="Q38" s="233">
        <f>4199999.97+600000+600000+289644000/482.74+290820000/484.7+286458000/477.43+600000+600000+231939215.4/394.26</f>
        <v>8988289.9699999988</v>
      </c>
      <c r="R38" s="233">
        <f>838542.942447016+522591.6/394.26</f>
        <v>839868.44237092405</v>
      </c>
      <c r="S38" s="238">
        <f t="shared" si="2"/>
        <v>3.0000001192092896E-2</v>
      </c>
      <c r="T38" s="324" t="s">
        <v>82</v>
      </c>
      <c r="U38" s="178"/>
      <c r="V38" s="172"/>
    </row>
    <row r="39" spans="1:22" ht="63.75" customHeight="1" outlineLevel="1" x14ac:dyDescent="0.25">
      <c r="A39" s="241">
        <v>22</v>
      </c>
      <c r="B39" s="237" t="s">
        <v>101</v>
      </c>
      <c r="C39" s="242" t="s">
        <v>98</v>
      </c>
      <c r="D39" s="242" t="s">
        <v>102</v>
      </c>
      <c r="E39" s="236"/>
      <c r="F39" s="236"/>
      <c r="G39" s="236"/>
      <c r="H39" s="236"/>
      <c r="I39" s="236"/>
      <c r="J39" s="236"/>
      <c r="K39" s="258" t="s">
        <v>334</v>
      </c>
      <c r="L39" s="233" t="s">
        <v>103</v>
      </c>
      <c r="M39" s="253" t="s">
        <v>3</v>
      </c>
      <c r="N39" s="233">
        <v>1757100000</v>
      </c>
      <c r="O39" s="233">
        <v>1757100000</v>
      </c>
      <c r="P39" s="243">
        <v>7.4999999999999997E-3</v>
      </c>
      <c r="Q39" s="233">
        <f>439275000+62753571.5+62753571.5+62753571.3+62753571.4+62753571.4+62753571.4+62753571.5</f>
        <v>878549999.99999988</v>
      </c>
      <c r="R39" s="233">
        <f>303383430.5+3313904.4+3032802.7</f>
        <v>309730137.59999996</v>
      </c>
      <c r="S39" s="238">
        <f t="shared" si="2"/>
        <v>878550000.00000012</v>
      </c>
      <c r="T39" s="324" t="s">
        <v>82</v>
      </c>
      <c r="U39" s="178"/>
      <c r="V39" s="172"/>
    </row>
    <row r="40" spans="1:22" ht="63.75" customHeight="1" outlineLevel="1" x14ac:dyDescent="0.25">
      <c r="A40" s="259">
        <v>23</v>
      </c>
      <c r="B40" s="237" t="s">
        <v>101</v>
      </c>
      <c r="C40" s="260" t="s">
        <v>104</v>
      </c>
      <c r="D40" s="242"/>
      <c r="E40" s="236"/>
      <c r="F40" s="236"/>
      <c r="G40" s="236"/>
      <c r="H40" s="236"/>
      <c r="I40" s="236"/>
      <c r="J40" s="236"/>
      <c r="K40" s="258" t="s">
        <v>335</v>
      </c>
      <c r="L40" s="233" t="s">
        <v>105</v>
      </c>
      <c r="M40" s="253" t="s">
        <v>3</v>
      </c>
      <c r="N40" s="233">
        <v>18700000000</v>
      </c>
      <c r="O40" s="233">
        <v>18700000000</v>
      </c>
      <c r="P40" s="261">
        <v>7.4999999999999997E-2</v>
      </c>
      <c r="Q40" s="233">
        <f>890476190.5+890476190.5+890476190.5</f>
        <v>2671428571.5</v>
      </c>
      <c r="R40" s="233">
        <f>1333335616.4+703171232.9+699328767.1+670052837.5+632909002</f>
        <v>4038797455.9000001</v>
      </c>
      <c r="S40" s="238">
        <f t="shared" si="2"/>
        <v>16028571428.5</v>
      </c>
      <c r="T40" s="324" t="s">
        <v>82</v>
      </c>
      <c r="U40" s="178"/>
      <c r="V40" s="172"/>
    </row>
    <row r="41" spans="1:22" ht="63.75" customHeight="1" outlineLevel="1" x14ac:dyDescent="0.25">
      <c r="A41" s="259">
        <v>24</v>
      </c>
      <c r="B41" s="237" t="s">
        <v>101</v>
      </c>
      <c r="C41" s="260" t="s">
        <v>289</v>
      </c>
      <c r="D41" s="242"/>
      <c r="E41" s="236"/>
      <c r="F41" s="236"/>
      <c r="G41" s="236"/>
      <c r="H41" s="236"/>
      <c r="I41" s="236"/>
      <c r="J41" s="236"/>
      <c r="K41" s="262"/>
      <c r="L41" s="233" t="s">
        <v>272</v>
      </c>
      <c r="M41" s="253" t="s">
        <v>3</v>
      </c>
      <c r="N41" s="233">
        <v>25000000000</v>
      </c>
      <c r="O41" s="233">
        <v>25000000000</v>
      </c>
      <c r="P41" s="261">
        <v>0.09</v>
      </c>
      <c r="Q41" s="233">
        <f>1190476190.4</f>
        <v>1190476190.4000001</v>
      </c>
      <c r="R41" s="233">
        <f>1171232876.7+1121917808.3+1128082191.8+1121917808.2</f>
        <v>4543150685</v>
      </c>
      <c r="S41" s="238">
        <f t="shared" si="2"/>
        <v>23809523809.599998</v>
      </c>
      <c r="T41" s="324" t="s">
        <v>82</v>
      </c>
      <c r="U41" s="178"/>
      <c r="V41" s="172"/>
    </row>
    <row r="42" spans="1:22" ht="63.75" customHeight="1" outlineLevel="1" x14ac:dyDescent="0.25">
      <c r="A42" s="259">
        <v>25</v>
      </c>
      <c r="B42" s="237" t="s">
        <v>101</v>
      </c>
      <c r="C42" s="260" t="s">
        <v>275</v>
      </c>
      <c r="D42" s="242"/>
      <c r="E42" s="236"/>
      <c r="F42" s="236"/>
      <c r="G42" s="236"/>
      <c r="H42" s="236"/>
      <c r="I42" s="236"/>
      <c r="J42" s="236"/>
      <c r="K42" s="258" t="s">
        <v>336</v>
      </c>
      <c r="L42" s="233" t="s">
        <v>276</v>
      </c>
      <c r="M42" s="253" t="s">
        <v>3</v>
      </c>
      <c r="N42" s="233">
        <v>2242223800</v>
      </c>
      <c r="O42" s="233">
        <v>2242223800</v>
      </c>
      <c r="P42" s="263">
        <v>9.1240000000000002E-2</v>
      </c>
      <c r="Q42" s="233">
        <v>2242223800</v>
      </c>
      <c r="R42" s="233">
        <v>297062095</v>
      </c>
      <c r="S42" s="238">
        <f t="shared" si="2"/>
        <v>0</v>
      </c>
      <c r="T42" s="324" t="s">
        <v>82</v>
      </c>
      <c r="U42" s="178"/>
      <c r="V42" s="172"/>
    </row>
    <row r="43" spans="1:22" ht="57.75" customHeight="1" outlineLevel="1" x14ac:dyDescent="0.25">
      <c r="A43" s="467">
        <v>26</v>
      </c>
      <c r="B43" s="474" t="s">
        <v>101</v>
      </c>
      <c r="C43" s="468" t="s">
        <v>106</v>
      </c>
      <c r="D43" s="239" t="s">
        <v>107</v>
      </c>
      <c r="E43" s="240" t="s">
        <v>57</v>
      </c>
      <c r="F43" s="238">
        <v>270000000</v>
      </c>
      <c r="G43" s="264">
        <v>7766059.0499999998</v>
      </c>
      <c r="H43" s="236"/>
      <c r="I43" s="236"/>
      <c r="J43" s="236"/>
      <c r="K43" s="469" t="s">
        <v>337</v>
      </c>
      <c r="L43" s="482" t="s">
        <v>108</v>
      </c>
      <c r="M43" s="240" t="s">
        <v>57</v>
      </c>
      <c r="N43" s="249">
        <v>270000000</v>
      </c>
      <c r="O43" s="233">
        <v>173574580.28</v>
      </c>
      <c r="P43" s="484">
        <v>0.03</v>
      </c>
      <c r="Q43" s="233">
        <f>51199088.7002228+3370009369.8/394.93+3295429324.9/386.19</f>
        <v>68265451.600323498</v>
      </c>
      <c r="R43" s="233">
        <f>20309911.275649+723428666.7/394.93+646453366.1/386.19</f>
        <v>23815626.575622123</v>
      </c>
      <c r="S43" s="238">
        <f t="shared" si="2"/>
        <v>105309128.6796765</v>
      </c>
      <c r="T43" s="465" t="s">
        <v>90</v>
      </c>
      <c r="U43" s="178"/>
      <c r="V43" s="172"/>
    </row>
    <row r="44" spans="1:22" ht="57.75" customHeight="1" outlineLevel="1" x14ac:dyDescent="0.25">
      <c r="A44" s="457"/>
      <c r="B44" s="475"/>
      <c r="C44" s="460"/>
      <c r="D44" s="265"/>
      <c r="E44" s="266"/>
      <c r="F44" s="248"/>
      <c r="G44" s="267"/>
      <c r="H44" s="246"/>
      <c r="I44" s="246"/>
      <c r="J44" s="246"/>
      <c r="K44" s="463"/>
      <c r="L44" s="483"/>
      <c r="M44" s="253" t="s">
        <v>3</v>
      </c>
      <c r="N44" s="250">
        <v>1265847400</v>
      </c>
      <c r="O44" s="233">
        <f>9509488626+108542329</f>
        <v>9618030955</v>
      </c>
      <c r="P44" s="485"/>
      <c r="Q44" s="233">
        <f>2858334735.47632+482835444.3+482835444.2</f>
        <v>3824005623.9763198</v>
      </c>
      <c r="R44" s="233">
        <f>1045375895.11175+103648675.3+94716219.7</f>
        <v>1243740790.1117501</v>
      </c>
      <c r="S44" s="238">
        <f t="shared" si="2"/>
        <v>5794025331.0236797</v>
      </c>
      <c r="T44" s="466"/>
      <c r="U44" s="178"/>
      <c r="V44" s="172"/>
    </row>
    <row r="45" spans="1:22" ht="57.75" customHeight="1" outlineLevel="1" x14ac:dyDescent="0.25">
      <c r="A45" s="241">
        <v>27</v>
      </c>
      <c r="B45" s="237" t="s">
        <v>101</v>
      </c>
      <c r="C45" s="242" t="s">
        <v>109</v>
      </c>
      <c r="D45" s="239"/>
      <c r="E45" s="240"/>
      <c r="F45" s="238"/>
      <c r="G45" s="264"/>
      <c r="H45" s="236"/>
      <c r="I45" s="236"/>
      <c r="J45" s="236"/>
      <c r="K45" s="268" t="s">
        <v>338</v>
      </c>
      <c r="L45" s="232" t="s">
        <v>110</v>
      </c>
      <c r="M45" s="231" t="s">
        <v>57</v>
      </c>
      <c r="N45" s="249">
        <v>8907500</v>
      </c>
      <c r="O45" s="233">
        <v>8907384.7100000009</v>
      </c>
      <c r="P45" s="471" t="s">
        <v>388</v>
      </c>
      <c r="Q45" s="233"/>
      <c r="R45" s="233">
        <f>1241236.45+96159781.6/386.38</f>
        <v>1490110.05008282</v>
      </c>
      <c r="S45" s="269">
        <f t="shared" si="2"/>
        <v>8907384.7100000009</v>
      </c>
      <c r="T45" s="325" t="s">
        <v>111</v>
      </c>
      <c r="U45" s="178"/>
      <c r="V45" s="172"/>
    </row>
    <row r="46" spans="1:22" ht="78.75" customHeight="1" outlineLevel="1" thickBot="1" x14ac:dyDescent="0.3">
      <c r="A46" s="241">
        <v>28</v>
      </c>
      <c r="B46" s="270" t="s">
        <v>94</v>
      </c>
      <c r="C46" s="271" t="s">
        <v>109</v>
      </c>
      <c r="D46" s="272"/>
      <c r="E46" s="200"/>
      <c r="F46" s="269"/>
      <c r="G46" s="273"/>
      <c r="H46" s="274"/>
      <c r="I46" s="274"/>
      <c r="J46" s="274"/>
      <c r="K46" s="268" t="s">
        <v>339</v>
      </c>
      <c r="L46" s="275" t="s">
        <v>110</v>
      </c>
      <c r="M46" s="200" t="s">
        <v>57</v>
      </c>
      <c r="N46" s="276">
        <v>21092500</v>
      </c>
      <c r="O46" s="233">
        <v>21092210.790000003</v>
      </c>
      <c r="P46" s="491"/>
      <c r="Q46" s="233"/>
      <c r="R46" s="233">
        <f>3081286.01+227668040/386.38</f>
        <v>3670519.5106987935</v>
      </c>
      <c r="S46" s="248">
        <f t="shared" si="2"/>
        <v>21092210.790000003</v>
      </c>
      <c r="T46" s="325" t="s">
        <v>112</v>
      </c>
      <c r="U46" s="178"/>
    </row>
    <row r="47" spans="1:22" s="175" customFormat="1" ht="15" customHeight="1" x14ac:dyDescent="0.25">
      <c r="A47" s="492" t="s">
        <v>121</v>
      </c>
      <c r="B47" s="493"/>
      <c r="C47" s="493"/>
      <c r="D47" s="496" t="s">
        <v>35</v>
      </c>
      <c r="E47" s="496"/>
      <c r="F47" s="496"/>
      <c r="G47" s="496"/>
      <c r="H47" s="496"/>
      <c r="I47" s="496"/>
      <c r="J47" s="496"/>
      <c r="K47" s="496"/>
      <c r="L47" s="496"/>
      <c r="M47" s="192"/>
      <c r="N47" s="193">
        <f>SUMIF($M$5:$M$46,D47,$N$5:$N$46)</f>
        <v>275755742.28000003</v>
      </c>
      <c r="O47" s="193">
        <f>SUMIF($M$5:$M$46,D47,$O$5:$O$46)</f>
        <v>97929055.540000007</v>
      </c>
      <c r="P47" s="193"/>
      <c r="Q47" s="193">
        <f>SUMIF($M$5:$M$46,D47,$Q$5:$Q$46)</f>
        <v>34129148.739822738</v>
      </c>
      <c r="R47" s="193">
        <f>SUMIF($M$5:$M$46,D47,$R$5:$R$46)</f>
        <v>15458404.88751778</v>
      </c>
      <c r="S47" s="193">
        <f>SUMIF($M$5:$M$46,D47,$S$5:$S$46)</f>
        <v>63799906.800177261</v>
      </c>
      <c r="T47" s="326"/>
      <c r="U47" s="178"/>
    </row>
    <row r="48" spans="1:22" s="175" customFormat="1" ht="15" customHeight="1" x14ac:dyDescent="0.25">
      <c r="A48" s="494"/>
      <c r="B48" s="495"/>
      <c r="C48" s="495"/>
      <c r="D48" s="497" t="s">
        <v>3</v>
      </c>
      <c r="E48" s="497"/>
      <c r="F48" s="497"/>
      <c r="G48" s="497"/>
      <c r="H48" s="497"/>
      <c r="I48" s="497"/>
      <c r="J48" s="497"/>
      <c r="K48" s="497"/>
      <c r="L48" s="497"/>
      <c r="M48" s="195"/>
      <c r="N48" s="196">
        <f>SUMIF($M$5:$M$46,D48,$N$5:$N$46)</f>
        <v>50705739545.900002</v>
      </c>
      <c r="O48" s="196">
        <f>SUMIF($M$5:$M$46,D48,$O$5:$O$46)</f>
        <v>69404899935.899994</v>
      </c>
      <c r="P48" s="196"/>
      <c r="Q48" s="196">
        <f>SUMIF($M$5:$M$46,D48,$Q$5:$Q$46)</f>
        <v>12055392998.076321</v>
      </c>
      <c r="R48" s="196">
        <f>SUMIF($M$5:$M$46,D48,$R$5:$R$46)</f>
        <v>12324017273.821749</v>
      </c>
      <c r="S48" s="196">
        <f>SUMIF($M$5:$M$46,D48,$S$5:$S$46)</f>
        <v>57349506937.823685</v>
      </c>
      <c r="T48" s="327"/>
      <c r="U48" s="178"/>
    </row>
    <row r="49" spans="1:21" s="175" customFormat="1" ht="15" customHeight="1" x14ac:dyDescent="0.25">
      <c r="A49" s="494"/>
      <c r="B49" s="495"/>
      <c r="C49" s="495"/>
      <c r="D49" s="497" t="s">
        <v>57</v>
      </c>
      <c r="E49" s="497"/>
      <c r="F49" s="497"/>
      <c r="G49" s="497"/>
      <c r="H49" s="497"/>
      <c r="I49" s="497"/>
      <c r="J49" s="497"/>
      <c r="K49" s="497"/>
      <c r="L49" s="497"/>
      <c r="M49" s="195"/>
      <c r="N49" s="196">
        <f>SUMIF($M$5:$M$46,D49,$N$5:$N$46)</f>
        <v>443654882.94000006</v>
      </c>
      <c r="O49" s="196">
        <f>SUMIF($M$5:$M$46,D49,$O$5:$O$46)</f>
        <v>322677704.62</v>
      </c>
      <c r="P49" s="196"/>
      <c r="Q49" s="196">
        <f>SUMIF($M$5:$M$46,D49,$Q$5:$Q$46)</f>
        <v>94017169.353545114</v>
      </c>
      <c r="R49" s="196">
        <f>SUMIF($M$5:$M$46,D49,$R$5:$R$46)</f>
        <v>47967670.69000712</v>
      </c>
      <c r="S49" s="196">
        <f>SUMIF($M$5:$M$46,D49,$S$5:$S$46)</f>
        <v>228660535.26645488</v>
      </c>
      <c r="T49" s="327"/>
      <c r="U49" s="178"/>
    </row>
    <row r="50" spans="1:21" s="175" customFormat="1" ht="15" customHeight="1" x14ac:dyDescent="0.25">
      <c r="A50" s="494"/>
      <c r="B50" s="495"/>
      <c r="C50" s="495"/>
      <c r="D50" s="498" t="s">
        <v>77</v>
      </c>
      <c r="E50" s="498"/>
      <c r="F50" s="498"/>
      <c r="G50" s="498"/>
      <c r="H50" s="498"/>
      <c r="I50" s="498"/>
      <c r="J50" s="498"/>
      <c r="K50" s="498"/>
      <c r="L50" s="498"/>
      <c r="M50" s="204"/>
      <c r="N50" s="277">
        <f>SUMIF($M$5:$M$46,D50,$N$5:$N$46)</f>
        <v>31777311969</v>
      </c>
      <c r="O50" s="277">
        <f>SUMIF($M$5:$M$46,D50,$O$5:$O$46)</f>
        <v>31859249643</v>
      </c>
      <c r="P50" s="277"/>
      <c r="Q50" s="277">
        <f>SUMIF($M$5:$M$46,D50,$Q$5:$Q$46)</f>
        <v>11175728507.734196</v>
      </c>
      <c r="R50" s="277">
        <f>SUMIF($M$5:$M$46,D50,$R$5:$R$46)</f>
        <v>3416822989.2722602</v>
      </c>
      <c r="S50" s="277">
        <f>SUMIF($M$5:$M$46,D50,$S$5:$S$46)</f>
        <v>20683521135.265808</v>
      </c>
      <c r="T50" s="328"/>
      <c r="U50" s="178"/>
    </row>
    <row r="51" spans="1:21" s="175" customFormat="1" ht="15" customHeight="1" thickBot="1" x14ac:dyDescent="0.3">
      <c r="A51" s="494"/>
      <c r="B51" s="495"/>
      <c r="C51" s="495"/>
      <c r="D51" s="499" t="s">
        <v>67</v>
      </c>
      <c r="E51" s="500"/>
      <c r="F51" s="500"/>
      <c r="G51" s="500"/>
      <c r="H51" s="500"/>
      <c r="I51" s="500"/>
      <c r="J51" s="500"/>
      <c r="K51" s="500"/>
      <c r="L51" s="501"/>
      <c r="M51" s="197"/>
      <c r="N51" s="198">
        <f>SUMIF($M$5:$M$46,D51,$N$5:$N$46)</f>
        <v>24086688</v>
      </c>
      <c r="O51" s="198">
        <f>SUMIF($M$5:$M$46,D51,$O$5:$O$46)</f>
        <v>18384172.012149811</v>
      </c>
      <c r="P51" s="198"/>
      <c r="Q51" s="198">
        <f>SUMIF($M$5:$M$46,D51,$Q$5:$Q$46)</f>
        <v>3421726.801663748</v>
      </c>
      <c r="R51" s="198">
        <f>SUMIF($M$5:$M$46,D51,$R$5:$R$46)</f>
        <v>2452783.2591014383</v>
      </c>
      <c r="S51" s="198">
        <f>SUMIF($M$5:$M$46,D51,$S$5:$S$46)</f>
        <v>14962445.210486062</v>
      </c>
      <c r="T51" s="329"/>
      <c r="U51" s="178"/>
    </row>
    <row r="52" spans="1:21" ht="78" customHeight="1" outlineLevel="1" x14ac:dyDescent="0.25">
      <c r="A52" s="278">
        <v>29</v>
      </c>
      <c r="B52" s="228" t="s">
        <v>122</v>
      </c>
      <c r="C52" s="270" t="s">
        <v>123</v>
      </c>
      <c r="D52" s="230" t="s">
        <v>124</v>
      </c>
      <c r="E52" s="231" t="s">
        <v>35</v>
      </c>
      <c r="F52" s="229">
        <v>5000000</v>
      </c>
      <c r="G52" s="229">
        <v>5000000</v>
      </c>
      <c r="H52" s="279" t="s">
        <v>126</v>
      </c>
      <c r="I52" s="226">
        <v>1041667</v>
      </c>
      <c r="J52" s="229">
        <f>G52-I52</f>
        <v>3958333</v>
      </c>
      <c r="K52" s="268" t="s">
        <v>340</v>
      </c>
      <c r="L52" s="268" t="s">
        <v>125</v>
      </c>
      <c r="M52" s="231" t="s">
        <v>35</v>
      </c>
      <c r="N52" s="232">
        <v>5000000</v>
      </c>
      <c r="O52" s="232">
        <v>5000000</v>
      </c>
      <c r="P52" s="279" t="s">
        <v>126</v>
      </c>
      <c r="Q52" s="232">
        <f>4166666.69+208333.33</f>
        <v>4375000.0199999996</v>
      </c>
      <c r="R52" s="232">
        <v>553011.29</v>
      </c>
      <c r="S52" s="232">
        <f t="shared" ref="S52:S57" si="3">O52-Q52</f>
        <v>624999.98000000045</v>
      </c>
      <c r="T52" s="323" t="s">
        <v>82</v>
      </c>
    </row>
    <row r="53" spans="1:21" ht="71.25" customHeight="1" outlineLevel="1" x14ac:dyDescent="0.25">
      <c r="A53" s="259">
        <v>30</v>
      </c>
      <c r="B53" s="474" t="s">
        <v>127</v>
      </c>
      <c r="C53" s="260" t="s">
        <v>128</v>
      </c>
      <c r="D53" s="265" t="s">
        <v>124</v>
      </c>
      <c r="E53" s="240" t="s">
        <v>35</v>
      </c>
      <c r="F53" s="238">
        <v>5000000</v>
      </c>
      <c r="G53" s="238">
        <f>3302053.81+58000+43500</f>
        <v>3403553.81</v>
      </c>
      <c r="H53" s="243" t="s">
        <v>126</v>
      </c>
      <c r="I53" s="238">
        <v>0</v>
      </c>
      <c r="J53" s="238">
        <f>G53-I53</f>
        <v>3403553.81</v>
      </c>
      <c r="K53" s="280" t="s">
        <v>341</v>
      </c>
      <c r="L53" s="280" t="s">
        <v>129</v>
      </c>
      <c r="M53" s="240" t="s">
        <v>35</v>
      </c>
      <c r="N53" s="233">
        <v>5000000</v>
      </c>
      <c r="O53" s="233">
        <v>5000000</v>
      </c>
      <c r="P53" s="261" t="s">
        <v>126</v>
      </c>
      <c r="Q53" s="233">
        <f>3125000+208333.33</f>
        <v>3333333.33</v>
      </c>
      <c r="R53" s="233">
        <v>320254.8</v>
      </c>
      <c r="S53" s="233">
        <f t="shared" si="3"/>
        <v>1666666.67</v>
      </c>
      <c r="T53" s="465" t="s">
        <v>82</v>
      </c>
    </row>
    <row r="54" spans="1:21" ht="71.25" customHeight="1" outlineLevel="1" x14ac:dyDescent="0.25">
      <c r="A54" s="259">
        <v>31</v>
      </c>
      <c r="B54" s="475"/>
      <c r="C54" s="260"/>
      <c r="D54" s="265"/>
      <c r="E54" s="240"/>
      <c r="F54" s="238"/>
      <c r="G54" s="238"/>
      <c r="H54" s="243"/>
      <c r="I54" s="238"/>
      <c r="J54" s="238"/>
      <c r="K54" s="280"/>
      <c r="L54" s="280"/>
      <c r="M54" s="266" t="s">
        <v>3</v>
      </c>
      <c r="N54" s="233"/>
      <c r="O54" s="233">
        <v>66094595</v>
      </c>
      <c r="P54" s="261"/>
      <c r="Q54" s="233">
        <f>6609471.44+6609433.4</f>
        <v>13218904.84</v>
      </c>
      <c r="R54" s="233">
        <v>1088882.5977352946</v>
      </c>
      <c r="S54" s="233">
        <f t="shared" si="3"/>
        <v>52875690.159999996</v>
      </c>
      <c r="T54" s="466"/>
    </row>
    <row r="55" spans="1:21" ht="55.5" customHeight="1" outlineLevel="1" x14ac:dyDescent="0.25">
      <c r="A55" s="241">
        <v>32</v>
      </c>
      <c r="B55" s="237" t="s">
        <v>130</v>
      </c>
      <c r="C55" s="242" t="s">
        <v>131</v>
      </c>
      <c r="D55" s="239" t="s">
        <v>132</v>
      </c>
      <c r="E55" s="240" t="s">
        <v>35</v>
      </c>
      <c r="F55" s="238">
        <v>5000000</v>
      </c>
      <c r="G55" s="238">
        <v>5000000</v>
      </c>
      <c r="H55" s="243" t="s">
        <v>467</v>
      </c>
      <c r="I55" s="235"/>
      <c r="J55" s="238">
        <f>G55-I55</f>
        <v>5000000</v>
      </c>
      <c r="K55" s="244" t="s">
        <v>342</v>
      </c>
      <c r="L55" s="244" t="s">
        <v>133</v>
      </c>
      <c r="M55" s="240" t="s">
        <v>35</v>
      </c>
      <c r="N55" s="233">
        <v>5000000</v>
      </c>
      <c r="O55" s="233">
        <v>5000000</v>
      </c>
      <c r="P55" s="243" t="s">
        <v>126</v>
      </c>
      <c r="Q55" s="233">
        <f>3227272.74+97124988.4/427.35</f>
        <v>3454545.4401287003</v>
      </c>
      <c r="R55" s="233">
        <f>'[2]Hashvark 03.05.11'!$M$87+'[2]Hashvark 03.05.11'!$T$87</f>
        <v>475298.33641151118</v>
      </c>
      <c r="S55" s="233">
        <f t="shared" si="3"/>
        <v>1545454.5598712997</v>
      </c>
      <c r="T55" s="324" t="s">
        <v>82</v>
      </c>
    </row>
    <row r="56" spans="1:21" ht="57" customHeight="1" outlineLevel="1" x14ac:dyDescent="0.25">
      <c r="A56" s="467">
        <v>33</v>
      </c>
      <c r="B56" s="474" t="s">
        <v>134</v>
      </c>
      <c r="C56" s="468" t="s">
        <v>135</v>
      </c>
      <c r="D56" s="265" t="s">
        <v>132</v>
      </c>
      <c r="E56" s="266" t="s">
        <v>35</v>
      </c>
      <c r="F56" s="248">
        <v>5000000</v>
      </c>
      <c r="G56" s="248">
        <v>2000000</v>
      </c>
      <c r="H56" s="261" t="s">
        <v>468</v>
      </c>
      <c r="I56" s="248">
        <v>0</v>
      </c>
      <c r="J56" s="248">
        <f>G56-I56</f>
        <v>2000000</v>
      </c>
      <c r="K56" s="280" t="s">
        <v>343</v>
      </c>
      <c r="L56" s="280" t="s">
        <v>136</v>
      </c>
      <c r="M56" s="266" t="s">
        <v>35</v>
      </c>
      <c r="N56" s="281">
        <v>5000000</v>
      </c>
      <c r="O56" s="233">
        <v>3000000</v>
      </c>
      <c r="P56" s="263" t="s">
        <v>290</v>
      </c>
      <c r="Q56" s="233">
        <v>676724.13793103443</v>
      </c>
      <c r="R56" s="233">
        <v>222742.90472119639</v>
      </c>
      <c r="S56" s="281">
        <f t="shared" si="3"/>
        <v>2323275.8620689656</v>
      </c>
      <c r="T56" s="465" t="s">
        <v>82</v>
      </c>
    </row>
    <row r="57" spans="1:21" ht="57" customHeight="1" outlineLevel="1" thickBot="1" x14ac:dyDescent="0.3">
      <c r="A57" s="487"/>
      <c r="B57" s="488"/>
      <c r="C57" s="489"/>
      <c r="D57" s="265" t="s">
        <v>132</v>
      </c>
      <c r="E57" s="266" t="s">
        <v>35</v>
      </c>
      <c r="F57" s="248">
        <v>5000000</v>
      </c>
      <c r="G57" s="248">
        <v>2000000</v>
      </c>
      <c r="H57" s="261" t="s">
        <v>468</v>
      </c>
      <c r="I57" s="248">
        <v>0</v>
      </c>
      <c r="J57" s="248">
        <f>G57-I57</f>
        <v>2000000</v>
      </c>
      <c r="K57" s="280" t="s">
        <v>343</v>
      </c>
      <c r="L57" s="280" t="s">
        <v>273</v>
      </c>
      <c r="M57" s="266" t="s">
        <v>3</v>
      </c>
      <c r="N57" s="281"/>
      <c r="O57" s="233">
        <v>69055257.109999999</v>
      </c>
      <c r="P57" s="263">
        <v>1.404E-2</v>
      </c>
      <c r="Q57" s="233">
        <v>9751561.9283781946</v>
      </c>
      <c r="R57" s="233">
        <v>1328413.7934904536</v>
      </c>
      <c r="S57" s="281">
        <f t="shared" si="3"/>
        <v>59303695.181621805</v>
      </c>
      <c r="T57" s="490"/>
    </row>
    <row r="58" spans="1:21" s="175" customFormat="1" ht="15" customHeight="1" x14ac:dyDescent="0.25">
      <c r="A58" s="492" t="s">
        <v>137</v>
      </c>
      <c r="B58" s="493"/>
      <c r="C58" s="493"/>
      <c r="D58" s="496" t="s">
        <v>35</v>
      </c>
      <c r="E58" s="496"/>
      <c r="F58" s="496"/>
      <c r="G58" s="496"/>
      <c r="H58" s="496"/>
      <c r="I58" s="496"/>
      <c r="J58" s="496"/>
      <c r="K58" s="496"/>
      <c r="L58" s="496"/>
      <c r="M58" s="192"/>
      <c r="N58" s="193">
        <f>SUMIF($M$52:$M$57,D58,$N$52:$N$57)</f>
        <v>20000000</v>
      </c>
      <c r="O58" s="193">
        <f>SUMIF($M$52:$M$57,D58,$O$52:$O$57)</f>
        <v>18000000</v>
      </c>
      <c r="P58" s="194"/>
      <c r="Q58" s="193">
        <f>SUMIF($M$52:$M$57,D58,$Q$52:$Q$57)</f>
        <v>11839602.928059734</v>
      </c>
      <c r="R58" s="193">
        <f>SUMIF($M$52:$M$57,D58,$R$52:$R$57)</f>
        <v>1571307.3311327077</v>
      </c>
      <c r="S58" s="193">
        <f>SUMIF($M$52:$M$57,D58,$S$52:$S$57)</f>
        <v>6160397.0719402656</v>
      </c>
      <c r="T58" s="326"/>
      <c r="U58" s="178"/>
    </row>
    <row r="59" spans="1:21" s="175" customFormat="1" ht="15" customHeight="1" x14ac:dyDescent="0.25">
      <c r="A59" s="494"/>
      <c r="B59" s="495"/>
      <c r="C59" s="495"/>
      <c r="D59" s="497" t="s">
        <v>3</v>
      </c>
      <c r="E59" s="497"/>
      <c r="F59" s="497"/>
      <c r="G59" s="497"/>
      <c r="H59" s="497"/>
      <c r="I59" s="497"/>
      <c r="J59" s="497"/>
      <c r="K59" s="497"/>
      <c r="L59" s="497"/>
      <c r="M59" s="195"/>
      <c r="N59" s="196">
        <f>SUMIF($M$52:$M$57,D59,$N$52:$N$57)</f>
        <v>0</v>
      </c>
      <c r="O59" s="196">
        <f>SUMIF($M$52:$M$57,D59,$O$52:$O$57)</f>
        <v>135149852.11000001</v>
      </c>
      <c r="P59" s="196"/>
      <c r="Q59" s="196">
        <f>SUMIF($M$52:$M$57,D59,$Q$52:$Q$57)</f>
        <v>22970466.768378194</v>
      </c>
      <c r="R59" s="196">
        <f>SUMIF($M$52:$M$57,D59,$R$52:$R$57)</f>
        <v>2417296.3912257482</v>
      </c>
      <c r="S59" s="196">
        <f>SUMIF($M$52:$M$57,D59,$S$52:$S$57)</f>
        <v>112179385.3416218</v>
      </c>
      <c r="T59" s="327"/>
      <c r="U59" s="178"/>
    </row>
    <row r="60" spans="1:21" s="175" customFormat="1" ht="15" customHeight="1" x14ac:dyDescent="0.25">
      <c r="A60" s="494"/>
      <c r="B60" s="495"/>
      <c r="C60" s="495"/>
      <c r="D60" s="497" t="s">
        <v>57</v>
      </c>
      <c r="E60" s="497"/>
      <c r="F60" s="497"/>
      <c r="G60" s="497"/>
      <c r="H60" s="497"/>
      <c r="I60" s="497"/>
      <c r="J60" s="497"/>
      <c r="K60" s="497"/>
      <c r="L60" s="497"/>
      <c r="M60" s="195"/>
      <c r="N60" s="196">
        <f>SUMIF($M$52:$M$57,D60,$N$52:$N$57)</f>
        <v>0</v>
      </c>
      <c r="O60" s="196">
        <f>SUMIF($M$52:$M$57,D60,$O$52:$O$57)</f>
        <v>0</v>
      </c>
      <c r="P60" s="196"/>
      <c r="Q60" s="196">
        <f>SUMIF($M$52:$M$57,D60,$Q$52:$Q$57)</f>
        <v>0</v>
      </c>
      <c r="R60" s="196">
        <f>SUMIF($M$52:$M$57,D60,$R$52:$R$57)</f>
        <v>0</v>
      </c>
      <c r="S60" s="196">
        <f>SUMIF($M$52:$M$57,D60,$S$52:$S$57)</f>
        <v>0</v>
      </c>
      <c r="T60" s="327"/>
      <c r="U60" s="178"/>
    </row>
    <row r="61" spans="1:21" s="175" customFormat="1" ht="15" customHeight="1" thickBot="1" x14ac:dyDescent="0.3">
      <c r="A61" s="502"/>
      <c r="B61" s="503"/>
      <c r="C61" s="503"/>
      <c r="D61" s="504" t="s">
        <v>77</v>
      </c>
      <c r="E61" s="504"/>
      <c r="F61" s="504"/>
      <c r="G61" s="504"/>
      <c r="H61" s="504"/>
      <c r="I61" s="504"/>
      <c r="J61" s="504"/>
      <c r="K61" s="504"/>
      <c r="L61" s="504"/>
      <c r="M61" s="197"/>
      <c r="N61" s="198">
        <f>SUMIF($M$52:$M$57,D61,$N$52:$N$57)</f>
        <v>0</v>
      </c>
      <c r="O61" s="198">
        <f>SUMIF($M$52:$M$57,D61,$O$52:$O$57)</f>
        <v>0</v>
      </c>
      <c r="P61" s="198"/>
      <c r="Q61" s="198">
        <f>SUMIF($M$52:$M$57,D61,$Q$52:$Q$57)</f>
        <v>0</v>
      </c>
      <c r="R61" s="198">
        <f>SUMIF($M$52:$M$57,D61,$R$52:$R$57)</f>
        <v>0</v>
      </c>
      <c r="S61" s="198">
        <f>SUMIF($M$52:$M$57,D61,$S$52:$S$57)</f>
        <v>0</v>
      </c>
      <c r="T61" s="329"/>
      <c r="U61" s="178"/>
    </row>
    <row r="62" spans="1:21" s="284" customFormat="1" ht="91.5" customHeight="1" outlineLevel="1" x14ac:dyDescent="0.25">
      <c r="A62" s="241">
        <v>34</v>
      </c>
      <c r="B62" s="242" t="s">
        <v>138</v>
      </c>
      <c r="C62" s="242" t="s">
        <v>139</v>
      </c>
      <c r="D62" s="242" t="s">
        <v>107</v>
      </c>
      <c r="E62" s="242"/>
      <c r="F62" s="242"/>
      <c r="G62" s="242"/>
      <c r="H62" s="242"/>
      <c r="I62" s="242"/>
      <c r="J62" s="242"/>
      <c r="K62" s="282" t="s">
        <v>344</v>
      </c>
      <c r="L62" s="242" t="s">
        <v>140</v>
      </c>
      <c r="M62" s="242" t="s">
        <v>3</v>
      </c>
      <c r="N62" s="233">
        <v>74000000000</v>
      </c>
      <c r="O62" s="233">
        <v>74000000000</v>
      </c>
      <c r="P62" s="243" t="s">
        <v>141</v>
      </c>
      <c r="Q62" s="233">
        <f>38761904762.2+1761904761.9+1761904761.9+1761904761.9+1761904761.9+1761904761.9+1761904761.9+1761904761.9+1761904761.9+1761904761.9+1761904761.9+1761904761.9+1761904761.9+1761904761.9+1761904761.9</f>
        <v>63428571428.800018</v>
      </c>
      <c r="R62" s="233">
        <f>27000442621.6+339655076+452522803+1282602.5+1775075.4+2158135.7+3391292+3227331.6+129991976+1018964.4+2022668.8</f>
        <v>27937488547</v>
      </c>
      <c r="S62" s="238">
        <f>O62-Q62</f>
        <v>10571428571.199982</v>
      </c>
      <c r="T62" s="324" t="s">
        <v>82</v>
      </c>
      <c r="U62" s="283"/>
    </row>
    <row r="63" spans="1:21" s="174" customFormat="1" ht="91.5" customHeight="1" outlineLevel="1" x14ac:dyDescent="0.25">
      <c r="A63" s="241">
        <v>35</v>
      </c>
      <c r="B63" s="242" t="s">
        <v>138</v>
      </c>
      <c r="C63" s="242" t="s">
        <v>142</v>
      </c>
      <c r="D63" s="242" t="s">
        <v>291</v>
      </c>
      <c r="E63" s="242"/>
      <c r="F63" s="242"/>
      <c r="G63" s="242"/>
      <c r="H63" s="242"/>
      <c r="I63" s="242"/>
      <c r="J63" s="242"/>
      <c r="K63" s="282" t="s">
        <v>345</v>
      </c>
      <c r="L63" s="242" t="s">
        <v>143</v>
      </c>
      <c r="M63" s="242" t="s">
        <v>3</v>
      </c>
      <c r="N63" s="233">
        <v>2035890300</v>
      </c>
      <c r="O63" s="233">
        <v>2035890300</v>
      </c>
      <c r="P63" s="243" t="s">
        <v>50</v>
      </c>
      <c r="Q63" s="233">
        <v>0</v>
      </c>
      <c r="R63" s="233">
        <v>0</v>
      </c>
      <c r="S63" s="238">
        <f t="shared" ref="S63:S68" si="4">O63-Q63</f>
        <v>2035890300</v>
      </c>
      <c r="T63" s="324" t="s">
        <v>82</v>
      </c>
      <c r="U63" s="224"/>
    </row>
    <row r="64" spans="1:21" ht="121.5" outlineLevel="1" x14ac:dyDescent="0.25">
      <c r="A64" s="278">
        <v>36</v>
      </c>
      <c r="B64" s="237" t="s">
        <v>144</v>
      </c>
      <c r="C64" s="242" t="s">
        <v>145</v>
      </c>
      <c r="D64" s="239" t="s">
        <v>33</v>
      </c>
      <c r="E64" s="240" t="s">
        <v>35</v>
      </c>
      <c r="F64" s="238">
        <v>3500000</v>
      </c>
      <c r="G64" s="238">
        <v>3500000</v>
      </c>
      <c r="H64" s="243">
        <v>7.4999999999999997E-3</v>
      </c>
      <c r="I64" s="235">
        <v>0</v>
      </c>
      <c r="J64" s="238">
        <f>G64-I64</f>
        <v>3500000</v>
      </c>
      <c r="K64" s="244" t="s">
        <v>346</v>
      </c>
      <c r="L64" s="239" t="s">
        <v>146</v>
      </c>
      <c r="M64" s="240" t="s">
        <v>35</v>
      </c>
      <c r="N64" s="233">
        <v>3500000</v>
      </c>
      <c r="O64" s="233">
        <v>3500000</v>
      </c>
      <c r="P64" s="243">
        <v>7.4999999999999997E-3</v>
      </c>
      <c r="Q64" s="233">
        <f>696000+31440060/542.07+58000+24255020/418.19+24400600/420.7</f>
        <v>928000</v>
      </c>
      <c r="R64" s="233">
        <f>399592.922231146+10515+10297.5+4215355.2/418.19+4149153.8/420.7</f>
        <v>440347.92234999558</v>
      </c>
      <c r="S64" s="238">
        <f t="shared" si="4"/>
        <v>2572000</v>
      </c>
      <c r="T64" s="324" t="s">
        <v>82</v>
      </c>
    </row>
    <row r="65" spans="1:21" s="170" customFormat="1" ht="69" customHeight="1" outlineLevel="1" x14ac:dyDescent="0.25">
      <c r="A65" s="241">
        <v>37</v>
      </c>
      <c r="B65" s="237" t="s">
        <v>147</v>
      </c>
      <c r="C65" s="242" t="s">
        <v>148</v>
      </c>
      <c r="D65" s="242" t="s">
        <v>149</v>
      </c>
      <c r="E65" s="236" t="s">
        <v>463</v>
      </c>
      <c r="F65" s="264">
        <v>1173750</v>
      </c>
      <c r="G65" s="264">
        <v>1109413</v>
      </c>
      <c r="H65" s="256"/>
      <c r="I65" s="264"/>
      <c r="J65" s="264"/>
      <c r="K65" s="236" t="s">
        <v>347</v>
      </c>
      <c r="L65" s="239" t="s">
        <v>150</v>
      </c>
      <c r="M65" s="240" t="s">
        <v>57</v>
      </c>
      <c r="N65" s="238">
        <v>1689937.9</v>
      </c>
      <c r="O65" s="233">
        <v>1689937.9</v>
      </c>
      <c r="P65" s="256">
        <v>5.9900000000000002E-2</v>
      </c>
      <c r="Q65" s="233">
        <f>872805.23+28165</f>
        <v>900970.23</v>
      </c>
      <c r="R65" s="233">
        <f>1964862.47+25588.58</f>
        <v>1990451.05</v>
      </c>
      <c r="S65" s="238">
        <f t="shared" si="4"/>
        <v>788967.66999999993</v>
      </c>
      <c r="T65" s="330" t="s">
        <v>82</v>
      </c>
      <c r="U65" s="169"/>
    </row>
    <row r="66" spans="1:21" s="170" customFormat="1" ht="69.75" customHeight="1" outlineLevel="1" x14ac:dyDescent="0.25">
      <c r="A66" s="278">
        <v>38</v>
      </c>
      <c r="B66" s="237" t="s">
        <v>151</v>
      </c>
      <c r="C66" s="242" t="s">
        <v>152</v>
      </c>
      <c r="D66" s="242" t="s">
        <v>149</v>
      </c>
      <c r="E66" s="240" t="s">
        <v>57</v>
      </c>
      <c r="F66" s="264">
        <v>2828000</v>
      </c>
      <c r="G66" s="264">
        <v>2828000</v>
      </c>
      <c r="H66" s="256"/>
      <c r="I66" s="264"/>
      <c r="J66" s="264"/>
      <c r="K66" s="236" t="s">
        <v>348</v>
      </c>
      <c r="L66" s="239" t="s">
        <v>153</v>
      </c>
      <c r="M66" s="240" t="s">
        <v>57</v>
      </c>
      <c r="N66" s="238">
        <v>2828000</v>
      </c>
      <c r="O66" s="233">
        <v>2828000</v>
      </c>
      <c r="P66" s="256">
        <v>5.9900000000000002E-2</v>
      </c>
      <c r="Q66" s="238">
        <v>1128831.5</v>
      </c>
      <c r="R66" s="233">
        <v>1731608.85</v>
      </c>
      <c r="S66" s="238">
        <f t="shared" si="4"/>
        <v>1699168.5</v>
      </c>
      <c r="T66" s="330" t="s">
        <v>82</v>
      </c>
      <c r="U66" s="169"/>
    </row>
    <row r="67" spans="1:21" s="177" customFormat="1" ht="177" customHeight="1" outlineLevel="1" x14ac:dyDescent="0.2">
      <c r="A67" s="241">
        <v>39</v>
      </c>
      <c r="B67" s="237" t="s">
        <v>154</v>
      </c>
      <c r="C67" s="242" t="s">
        <v>155</v>
      </c>
      <c r="D67" s="242" t="s">
        <v>149</v>
      </c>
      <c r="E67" s="236" t="s">
        <v>463</v>
      </c>
      <c r="F67" s="264">
        <v>7900000</v>
      </c>
      <c r="G67" s="285"/>
      <c r="H67" s="285"/>
      <c r="I67" s="285"/>
      <c r="J67" s="285"/>
      <c r="K67" s="239" t="s">
        <v>349</v>
      </c>
      <c r="L67" s="239" t="s">
        <v>156</v>
      </c>
      <c r="M67" s="242" t="s">
        <v>3</v>
      </c>
      <c r="N67" s="286">
        <v>2092000000</v>
      </c>
      <c r="O67" s="233">
        <v>2092000000</v>
      </c>
      <c r="P67" s="287">
        <v>0.02</v>
      </c>
      <c r="Q67" s="233">
        <f>354576270+35457627.1+35457627</f>
        <v>425491524.10000002</v>
      </c>
      <c r="R67" s="233">
        <f>426427783.87+17517039.3+16879773.4</f>
        <v>460824596.56999999</v>
      </c>
      <c r="S67" s="238">
        <f t="shared" si="4"/>
        <v>1666508475.9000001</v>
      </c>
      <c r="T67" s="330" t="s">
        <v>82</v>
      </c>
      <c r="U67" s="288"/>
    </row>
    <row r="68" spans="1:21" s="177" customFormat="1" ht="169.5" customHeight="1" outlineLevel="1" thickBot="1" x14ac:dyDescent="0.25">
      <c r="A68" s="278">
        <v>40</v>
      </c>
      <c r="B68" s="237" t="s">
        <v>154</v>
      </c>
      <c r="C68" s="242" t="s">
        <v>157</v>
      </c>
      <c r="D68" s="242" t="s">
        <v>149</v>
      </c>
      <c r="E68" s="236"/>
      <c r="F68" s="264"/>
      <c r="G68" s="285"/>
      <c r="H68" s="285"/>
      <c r="I68" s="285"/>
      <c r="J68" s="285"/>
      <c r="K68" s="239" t="s">
        <v>350</v>
      </c>
      <c r="L68" s="239" t="s">
        <v>158</v>
      </c>
      <c r="M68" s="239" t="s">
        <v>3</v>
      </c>
      <c r="N68" s="286">
        <v>2187306400</v>
      </c>
      <c r="O68" s="286">
        <v>2187306400</v>
      </c>
      <c r="P68" s="287">
        <v>0.03</v>
      </c>
      <c r="Q68" s="233">
        <v>0</v>
      </c>
      <c r="R68" s="233">
        <f>224789707.9+33079263.9+32539928.1</f>
        <v>290408899.90000004</v>
      </c>
      <c r="S68" s="238">
        <f t="shared" si="4"/>
        <v>2187306400</v>
      </c>
      <c r="T68" s="330" t="s">
        <v>82</v>
      </c>
      <c r="U68" s="288"/>
    </row>
    <row r="69" spans="1:21" s="175" customFormat="1" ht="15" customHeight="1" x14ac:dyDescent="0.25">
      <c r="A69" s="492" t="s">
        <v>159</v>
      </c>
      <c r="B69" s="493"/>
      <c r="C69" s="493"/>
      <c r="D69" s="496" t="s">
        <v>35</v>
      </c>
      <c r="E69" s="496"/>
      <c r="F69" s="496"/>
      <c r="G69" s="496"/>
      <c r="H69" s="496"/>
      <c r="I69" s="496"/>
      <c r="J69" s="496"/>
      <c r="K69" s="496"/>
      <c r="L69" s="496"/>
      <c r="M69" s="192"/>
      <c r="N69" s="194">
        <f>SUMIF($M$62:$M$68,D69,$N$62:$N$68)</f>
        <v>3500000</v>
      </c>
      <c r="O69" s="194">
        <f>SUMIF($M$62:$M$68,D69,$O$62:$O$68)</f>
        <v>3500000</v>
      </c>
      <c r="P69" s="194"/>
      <c r="Q69" s="194">
        <f>SUMIF($M$62:$M$68,D69,$Q$62:$Q$68)</f>
        <v>928000</v>
      </c>
      <c r="R69" s="194">
        <f>SUMIF($M$62:$M$68,D69,$R$62:$R$68)</f>
        <v>440347.92234999558</v>
      </c>
      <c r="S69" s="194">
        <f>SUMIF($M$62:$M$68,D69,$S$62:$S$68)</f>
        <v>2572000</v>
      </c>
      <c r="T69" s="326"/>
      <c r="U69" s="178"/>
    </row>
    <row r="70" spans="1:21" s="175" customFormat="1" ht="15" customHeight="1" x14ac:dyDescent="0.25">
      <c r="A70" s="494"/>
      <c r="B70" s="495"/>
      <c r="C70" s="495"/>
      <c r="D70" s="497" t="s">
        <v>3</v>
      </c>
      <c r="E70" s="497"/>
      <c r="F70" s="497"/>
      <c r="G70" s="497"/>
      <c r="H70" s="497"/>
      <c r="I70" s="497"/>
      <c r="J70" s="497"/>
      <c r="K70" s="497"/>
      <c r="L70" s="497"/>
      <c r="M70" s="195"/>
      <c r="N70" s="196">
        <f>SUMIF($M$62:$M$68,D70,$N$62:$N$68)</f>
        <v>80315196700</v>
      </c>
      <c r="O70" s="196">
        <f>SUMIF($M$62:$M$68,D70,$O$62:$O$68)</f>
        <v>80315196700</v>
      </c>
      <c r="P70" s="196"/>
      <c r="Q70" s="196">
        <f>SUMIF($M$62:$M$68,D70,$Q$62:$Q$68)</f>
        <v>63854062952.900017</v>
      </c>
      <c r="R70" s="196">
        <f>SUMIF($M$62:$M$68,D70,$R$62:$R$68)</f>
        <v>28688722043.470001</v>
      </c>
      <c r="S70" s="196">
        <f>SUMIF($M$62:$M$68,D70,$S$62:$S$68)</f>
        <v>16461133747.099981</v>
      </c>
      <c r="T70" s="327"/>
      <c r="U70" s="178"/>
    </row>
    <row r="71" spans="1:21" s="175" customFormat="1" ht="15" customHeight="1" x14ac:dyDescent="0.25">
      <c r="A71" s="494"/>
      <c r="B71" s="495"/>
      <c r="C71" s="495"/>
      <c r="D71" s="497" t="s">
        <v>57</v>
      </c>
      <c r="E71" s="497"/>
      <c r="F71" s="497"/>
      <c r="G71" s="497"/>
      <c r="H71" s="497"/>
      <c r="I71" s="497"/>
      <c r="J71" s="497"/>
      <c r="K71" s="497"/>
      <c r="L71" s="497"/>
      <c r="M71" s="195"/>
      <c r="N71" s="196">
        <f>SUMIF($M$62:$M$68,D71,$N$62:$N$68)</f>
        <v>4517937.9000000004</v>
      </c>
      <c r="O71" s="196">
        <f>SUMIF($M$62:$M$68,D71,$O$62:$O$68)</f>
        <v>4517937.9000000004</v>
      </c>
      <c r="P71" s="196"/>
      <c r="Q71" s="196">
        <f>SUMIF($M$62:$M$68,D71,$Q$62:$Q$68)</f>
        <v>2029801.73</v>
      </c>
      <c r="R71" s="196">
        <f>SUMIF($M$62:$M$68,D71,$R$62:$R$68)</f>
        <v>3722059.9000000004</v>
      </c>
      <c r="S71" s="196">
        <f>SUMIF($M$62:$M$68,D71,$S$62:$S$68)</f>
        <v>2488136.17</v>
      </c>
      <c r="T71" s="327"/>
      <c r="U71" s="178"/>
    </row>
    <row r="72" spans="1:21" s="175" customFormat="1" ht="15" thickBot="1" x14ac:dyDescent="0.3">
      <c r="A72" s="502"/>
      <c r="B72" s="503"/>
      <c r="C72" s="503"/>
      <c r="D72" s="504" t="s">
        <v>77</v>
      </c>
      <c r="E72" s="504"/>
      <c r="F72" s="504"/>
      <c r="G72" s="504"/>
      <c r="H72" s="504"/>
      <c r="I72" s="504"/>
      <c r="J72" s="504"/>
      <c r="K72" s="504"/>
      <c r="L72" s="504"/>
      <c r="M72" s="197"/>
      <c r="N72" s="198">
        <f>SUMIF($M$62:$M$68,D72,$N$62:$N$68)</f>
        <v>0</v>
      </c>
      <c r="O72" s="198">
        <f>SUMIF($M$62:$M$68,D72,$O$62:$O$68)</f>
        <v>0</v>
      </c>
      <c r="P72" s="198"/>
      <c r="Q72" s="198">
        <f>SUMIF($M$62:$M$68,D72,$Q$62:$Q$68)</f>
        <v>0</v>
      </c>
      <c r="R72" s="198">
        <f>SUMIF($M$62:$M$68,D72,$R$62:$R$68)</f>
        <v>0</v>
      </c>
      <c r="S72" s="198">
        <f>SUMIF($M$62:$M$68,D72,$S$62:$S$68)</f>
        <v>0</v>
      </c>
      <c r="T72" s="329"/>
      <c r="U72" s="178"/>
    </row>
    <row r="73" spans="1:21" s="174" customFormat="1" ht="77.25" customHeight="1" outlineLevel="1" x14ac:dyDescent="0.25">
      <c r="A73" s="241">
        <v>41</v>
      </c>
      <c r="B73" s="237" t="s">
        <v>160</v>
      </c>
      <c r="C73" s="242" t="s">
        <v>161</v>
      </c>
      <c r="D73" s="242" t="s">
        <v>99</v>
      </c>
      <c r="E73" s="242"/>
      <c r="F73" s="242"/>
      <c r="G73" s="242"/>
      <c r="H73" s="242"/>
      <c r="I73" s="242"/>
      <c r="J73" s="242"/>
      <c r="K73" s="242" t="s">
        <v>351</v>
      </c>
      <c r="L73" s="242" t="s">
        <v>162</v>
      </c>
      <c r="M73" s="240" t="s">
        <v>57</v>
      </c>
      <c r="N73" s="233">
        <v>361332</v>
      </c>
      <c r="O73" s="233">
        <v>361332</v>
      </c>
      <c r="P73" s="243">
        <v>7.7700000000000005E-2</v>
      </c>
      <c r="Q73" s="233">
        <f>162402.753184719+8510000/490.37+(1000000+1000000+500000)/395.19+10099.73+2000000/388.21</f>
        <v>201334.64770562557</v>
      </c>
      <c r="R73" s="233">
        <f>187530</f>
        <v>187530</v>
      </c>
      <c r="S73" s="238">
        <f>O73-Q73</f>
        <v>159997.35229437443</v>
      </c>
      <c r="T73" s="324" t="s">
        <v>163</v>
      </c>
      <c r="U73" s="224"/>
    </row>
    <row r="74" spans="1:21" s="170" customFormat="1" ht="64.5" customHeight="1" outlineLevel="1" x14ac:dyDescent="0.25">
      <c r="A74" s="241">
        <v>42</v>
      </c>
      <c r="B74" s="237" t="s">
        <v>164</v>
      </c>
      <c r="C74" s="242" t="s">
        <v>165</v>
      </c>
      <c r="D74" s="265" t="s">
        <v>124</v>
      </c>
      <c r="E74" s="236"/>
      <c r="F74" s="236"/>
      <c r="G74" s="236"/>
      <c r="H74" s="236"/>
      <c r="I74" s="236"/>
      <c r="J74" s="236"/>
      <c r="K74" s="244" t="s">
        <v>352</v>
      </c>
      <c r="L74" s="233" t="s">
        <v>166</v>
      </c>
      <c r="M74" s="240" t="s">
        <v>35</v>
      </c>
      <c r="N74" s="233">
        <v>8000000</v>
      </c>
      <c r="O74" s="233">
        <v>80000</v>
      </c>
      <c r="P74" s="243" t="s">
        <v>50</v>
      </c>
      <c r="Q74" s="233">
        <f>10909.09+3636.36+3636.36+1428217/392.76+1554016/427.35</f>
        <v>25454.571703756206</v>
      </c>
      <c r="R74" s="233">
        <f>105386.95+361.72+42360.02+4761284/392.76+5116448/427.35</f>
        <v>172203.81988818216</v>
      </c>
      <c r="S74" s="238">
        <f>O74-Q74</f>
        <v>54545.428296243794</v>
      </c>
      <c r="T74" s="324" t="s">
        <v>167</v>
      </c>
      <c r="U74" s="169"/>
    </row>
    <row r="75" spans="1:21" s="170" customFormat="1" ht="53.25" customHeight="1" outlineLevel="1" x14ac:dyDescent="0.25">
      <c r="A75" s="241">
        <v>43</v>
      </c>
      <c r="B75" s="237" t="s">
        <v>164</v>
      </c>
      <c r="C75" s="242" t="s">
        <v>168</v>
      </c>
      <c r="D75" s="265" t="s">
        <v>132</v>
      </c>
      <c r="E75" s="236"/>
      <c r="F75" s="236"/>
      <c r="G75" s="236"/>
      <c r="H75" s="236"/>
      <c r="I75" s="236"/>
      <c r="J75" s="236"/>
      <c r="K75" s="244" t="s">
        <v>353</v>
      </c>
      <c r="L75" s="233" t="s">
        <v>166</v>
      </c>
      <c r="M75" s="240" t="s">
        <v>35</v>
      </c>
      <c r="N75" s="233">
        <v>8000000</v>
      </c>
      <c r="O75" s="233"/>
      <c r="P75" s="243" t="s">
        <v>50</v>
      </c>
      <c r="Q75" s="233"/>
      <c r="R75" s="233"/>
      <c r="S75" s="238">
        <f>O75-Q75</f>
        <v>0</v>
      </c>
      <c r="T75" s="324" t="s">
        <v>167</v>
      </c>
      <c r="U75" s="169"/>
    </row>
    <row r="76" spans="1:21" s="170" customFormat="1" ht="53.25" customHeight="1" outlineLevel="1" x14ac:dyDescent="0.25">
      <c r="A76" s="467">
        <v>44</v>
      </c>
      <c r="B76" s="474" t="s">
        <v>169</v>
      </c>
      <c r="C76" s="468" t="s">
        <v>271</v>
      </c>
      <c r="D76" s="265"/>
      <c r="E76" s="236"/>
      <c r="F76" s="236"/>
      <c r="G76" s="236"/>
      <c r="H76" s="236"/>
      <c r="I76" s="236"/>
      <c r="J76" s="236"/>
      <c r="K76" s="244" t="s">
        <v>354</v>
      </c>
      <c r="L76" s="468" t="s">
        <v>292</v>
      </c>
      <c r="M76" s="240" t="s">
        <v>35</v>
      </c>
      <c r="N76" s="233">
        <v>5500000</v>
      </c>
      <c r="O76" s="233">
        <f>1384955.78+492272.39</f>
        <v>1877228.17</v>
      </c>
      <c r="P76" s="243" t="s">
        <v>50</v>
      </c>
      <c r="Q76" s="233"/>
      <c r="R76" s="233"/>
      <c r="S76" s="238">
        <f t="shared" ref="S76:S82" si="5">O76-Q76</f>
        <v>1877228.17</v>
      </c>
      <c r="T76" s="324" t="s">
        <v>82</v>
      </c>
      <c r="U76" s="169"/>
    </row>
    <row r="77" spans="1:21" s="170" customFormat="1" outlineLevel="1" x14ac:dyDescent="0.25">
      <c r="A77" s="457"/>
      <c r="B77" s="475"/>
      <c r="C77" s="460"/>
      <c r="D77" s="265"/>
      <c r="E77" s="236"/>
      <c r="F77" s="236"/>
      <c r="G77" s="236"/>
      <c r="H77" s="236"/>
      <c r="I77" s="236"/>
      <c r="J77" s="236"/>
      <c r="K77" s="244"/>
      <c r="L77" s="460"/>
      <c r="M77" s="239" t="s">
        <v>3</v>
      </c>
      <c r="N77" s="233">
        <v>92733053.200000003</v>
      </c>
      <c r="O77" s="233">
        <f>92733053.2+20276600+1679251+16492341.9+20399976.4+42969092+26833268.5</f>
        <v>221383583</v>
      </c>
      <c r="P77" s="243"/>
      <c r="Q77" s="233"/>
      <c r="R77" s="233"/>
      <c r="S77" s="238">
        <f t="shared" si="5"/>
        <v>221383583</v>
      </c>
      <c r="T77" s="324"/>
      <c r="U77" s="169"/>
    </row>
    <row r="78" spans="1:21" ht="54" outlineLevel="1" x14ac:dyDescent="0.25">
      <c r="A78" s="241">
        <v>45</v>
      </c>
      <c r="B78" s="237" t="s">
        <v>170</v>
      </c>
      <c r="C78" s="242" t="s">
        <v>171</v>
      </c>
      <c r="D78" s="242" t="s">
        <v>119</v>
      </c>
      <c r="E78" s="236"/>
      <c r="F78" s="236"/>
      <c r="G78" s="236"/>
      <c r="H78" s="236"/>
      <c r="I78" s="236"/>
      <c r="J78" s="236"/>
      <c r="K78" s="244" t="s">
        <v>355</v>
      </c>
      <c r="L78" s="233" t="s">
        <v>172</v>
      </c>
      <c r="M78" s="239" t="s">
        <v>3</v>
      </c>
      <c r="N78" s="233">
        <v>249300000</v>
      </c>
      <c r="O78" s="233">
        <v>249300000</v>
      </c>
      <c r="P78" s="251">
        <v>1E-3</v>
      </c>
      <c r="Q78" s="233">
        <v>42881892.899999999</v>
      </c>
      <c r="R78" s="233">
        <v>528153.5</v>
      </c>
      <c r="S78" s="238">
        <f t="shared" si="5"/>
        <v>206418107.09999999</v>
      </c>
      <c r="T78" s="324" t="s">
        <v>82</v>
      </c>
    </row>
    <row r="79" spans="1:21" ht="148.5" outlineLevel="1" x14ac:dyDescent="0.25">
      <c r="A79" s="241">
        <v>46</v>
      </c>
      <c r="B79" s="289" t="s">
        <v>113</v>
      </c>
      <c r="C79" s="260" t="s">
        <v>114</v>
      </c>
      <c r="D79" s="265" t="s">
        <v>107</v>
      </c>
      <c r="E79" s="236"/>
      <c r="F79" s="236"/>
      <c r="G79" s="236"/>
      <c r="H79" s="236"/>
      <c r="I79" s="236"/>
      <c r="J79" s="236"/>
      <c r="K79" s="280" t="s">
        <v>356</v>
      </c>
      <c r="L79" s="281" t="s">
        <v>115</v>
      </c>
      <c r="M79" s="240" t="s">
        <v>57</v>
      </c>
      <c r="N79" s="233">
        <v>4000000</v>
      </c>
      <c r="O79" s="233">
        <v>776598.69</v>
      </c>
      <c r="P79" s="243" t="s">
        <v>50</v>
      </c>
      <c r="Q79" s="233">
        <v>465353.90575368248</v>
      </c>
      <c r="R79" s="233">
        <v>188098.17996449812</v>
      </c>
      <c r="S79" s="248">
        <f>O79-Q79</f>
        <v>311244.78424631746</v>
      </c>
      <c r="T79" s="325" t="s">
        <v>116</v>
      </c>
    </row>
    <row r="80" spans="1:21" s="177" customFormat="1" ht="40.5" outlineLevel="1" x14ac:dyDescent="0.2">
      <c r="A80" s="241">
        <v>47</v>
      </c>
      <c r="B80" s="237" t="s">
        <v>173</v>
      </c>
      <c r="C80" s="242" t="s">
        <v>139</v>
      </c>
      <c r="D80" s="239" t="s">
        <v>107</v>
      </c>
      <c r="E80" s="236" t="s">
        <v>3</v>
      </c>
      <c r="F80" s="236"/>
      <c r="G80" s="242"/>
      <c r="H80" s="242"/>
      <c r="I80" s="242"/>
      <c r="J80" s="242"/>
      <c r="K80" s="239" t="s">
        <v>357</v>
      </c>
      <c r="L80" s="239" t="s">
        <v>307</v>
      </c>
      <c r="M80" s="239" t="s">
        <v>3</v>
      </c>
      <c r="N80" s="286">
        <v>50600000</v>
      </c>
      <c r="O80" s="233">
        <v>50600000</v>
      </c>
      <c r="P80" s="237" t="s">
        <v>174</v>
      </c>
      <c r="Q80" s="233"/>
      <c r="R80" s="233"/>
      <c r="S80" s="286">
        <f t="shared" si="5"/>
        <v>50600000</v>
      </c>
      <c r="T80" s="324" t="s">
        <v>82</v>
      </c>
      <c r="U80" s="288"/>
    </row>
    <row r="81" spans="1:21" s="177" customFormat="1" ht="40.5" outlineLevel="1" x14ac:dyDescent="0.2">
      <c r="A81" s="241">
        <v>48</v>
      </c>
      <c r="B81" s="237" t="s">
        <v>173</v>
      </c>
      <c r="C81" s="242" t="s">
        <v>139</v>
      </c>
      <c r="D81" s="239" t="s">
        <v>107</v>
      </c>
      <c r="E81" s="236" t="s">
        <v>3</v>
      </c>
      <c r="F81" s="236"/>
      <c r="G81" s="236"/>
      <c r="H81" s="236"/>
      <c r="I81" s="236"/>
      <c r="J81" s="236"/>
      <c r="K81" s="239" t="s">
        <v>358</v>
      </c>
      <c r="L81" s="239" t="s">
        <v>308</v>
      </c>
      <c r="M81" s="242" t="s">
        <v>3</v>
      </c>
      <c r="N81" s="286">
        <v>1100000000</v>
      </c>
      <c r="O81" s="233">
        <v>1100000000</v>
      </c>
      <c r="P81" s="237" t="s">
        <v>174</v>
      </c>
      <c r="Q81" s="233"/>
      <c r="R81" s="233"/>
      <c r="S81" s="286">
        <f t="shared" si="5"/>
        <v>1100000000</v>
      </c>
      <c r="T81" s="506" t="s">
        <v>274</v>
      </c>
      <c r="U81" s="288"/>
    </row>
    <row r="82" spans="1:21" s="177" customFormat="1" ht="40.5" outlineLevel="1" x14ac:dyDescent="0.2">
      <c r="A82" s="241">
        <v>49</v>
      </c>
      <c r="B82" s="237" t="s">
        <v>173</v>
      </c>
      <c r="C82" s="242" t="s">
        <v>139</v>
      </c>
      <c r="D82" s="239" t="s">
        <v>107</v>
      </c>
      <c r="E82" s="236" t="s">
        <v>3</v>
      </c>
      <c r="F82" s="236"/>
      <c r="G82" s="236"/>
      <c r="H82" s="236"/>
      <c r="I82" s="236"/>
      <c r="J82" s="236"/>
      <c r="K82" s="239" t="s">
        <v>359</v>
      </c>
      <c r="L82" s="239" t="s">
        <v>309</v>
      </c>
      <c r="M82" s="242" t="s">
        <v>3</v>
      </c>
      <c r="N82" s="286">
        <v>792386600</v>
      </c>
      <c r="O82" s="233">
        <v>791031693</v>
      </c>
      <c r="P82" s="237" t="s">
        <v>174</v>
      </c>
      <c r="Q82" s="233"/>
      <c r="R82" s="233"/>
      <c r="S82" s="286">
        <f t="shared" si="5"/>
        <v>791031693</v>
      </c>
      <c r="T82" s="507"/>
      <c r="U82" s="288"/>
    </row>
    <row r="83" spans="1:21" s="177" customFormat="1" ht="40.5" outlineLevel="1" x14ac:dyDescent="0.2">
      <c r="A83" s="241">
        <v>50</v>
      </c>
      <c r="B83" s="237" t="s">
        <v>173</v>
      </c>
      <c r="C83" s="242" t="s">
        <v>139</v>
      </c>
      <c r="D83" s="239" t="s">
        <v>107</v>
      </c>
      <c r="E83" s="236" t="s">
        <v>3</v>
      </c>
      <c r="F83" s="236"/>
      <c r="G83" s="236"/>
      <c r="H83" s="236"/>
      <c r="I83" s="236"/>
      <c r="J83" s="236"/>
      <c r="K83" s="239" t="s">
        <v>360</v>
      </c>
      <c r="L83" s="239" t="s">
        <v>310</v>
      </c>
      <c r="M83" s="242" t="s">
        <v>3</v>
      </c>
      <c r="N83" s="286">
        <v>254672300</v>
      </c>
      <c r="O83" s="233">
        <f>168444408+75498000+5196300+5196300</f>
        <v>254335008</v>
      </c>
      <c r="P83" s="237" t="s">
        <v>174</v>
      </c>
      <c r="Q83" s="233"/>
      <c r="R83" s="233"/>
      <c r="S83" s="286">
        <f>O83-Q83</f>
        <v>254335008</v>
      </c>
      <c r="T83" s="508"/>
      <c r="U83" s="288"/>
    </row>
    <row r="84" spans="1:21" s="176" customFormat="1" ht="40.5" outlineLevel="1" x14ac:dyDescent="0.2">
      <c r="A84" s="241">
        <v>51</v>
      </c>
      <c r="B84" s="237" t="s">
        <v>175</v>
      </c>
      <c r="C84" s="242" t="s">
        <v>139</v>
      </c>
      <c r="D84" s="239" t="s">
        <v>119</v>
      </c>
      <c r="E84" s="236" t="s">
        <v>3</v>
      </c>
      <c r="F84" s="236"/>
      <c r="G84" s="236"/>
      <c r="H84" s="236"/>
      <c r="I84" s="236"/>
      <c r="J84" s="236"/>
      <c r="K84" s="239" t="s">
        <v>361</v>
      </c>
      <c r="L84" s="239" t="s">
        <v>176</v>
      </c>
      <c r="M84" s="242" t="s">
        <v>3</v>
      </c>
      <c r="N84" s="286">
        <v>88731015</v>
      </c>
      <c r="O84" s="233">
        <v>88731000</v>
      </c>
      <c r="P84" s="290">
        <v>8.5000000000000006E-2</v>
      </c>
      <c r="Q84" s="233"/>
      <c r="R84" s="233">
        <v>1591081</v>
      </c>
      <c r="S84" s="286">
        <f t="shared" ref="S84:S96" si="6">O84-Q84</f>
        <v>88731000</v>
      </c>
      <c r="T84" s="330" t="s">
        <v>177</v>
      </c>
      <c r="U84" s="291"/>
    </row>
    <row r="85" spans="1:21" s="177" customFormat="1" ht="40.5" outlineLevel="1" x14ac:dyDescent="0.2">
      <c r="A85" s="241">
        <v>52</v>
      </c>
      <c r="B85" s="237" t="s">
        <v>178</v>
      </c>
      <c r="C85" s="242" t="s">
        <v>179</v>
      </c>
      <c r="D85" s="239" t="s">
        <v>119</v>
      </c>
      <c r="E85" s="236" t="s">
        <v>3</v>
      </c>
      <c r="F85" s="236"/>
      <c r="G85" s="236"/>
      <c r="H85" s="236"/>
      <c r="I85" s="236"/>
      <c r="J85" s="236"/>
      <c r="K85" s="239" t="s">
        <v>362</v>
      </c>
      <c r="L85" s="239" t="s">
        <v>180</v>
      </c>
      <c r="M85" s="242" t="s">
        <v>3</v>
      </c>
      <c r="N85" s="286">
        <v>3840000000</v>
      </c>
      <c r="O85" s="233">
        <v>3840000000</v>
      </c>
      <c r="P85" s="292">
        <v>1.0000000000000001E-5</v>
      </c>
      <c r="Q85" s="233">
        <v>3484641868</v>
      </c>
      <c r="R85" s="233">
        <v>37169</v>
      </c>
      <c r="S85" s="286">
        <f t="shared" si="6"/>
        <v>355358132</v>
      </c>
      <c r="T85" s="330" t="s">
        <v>82</v>
      </c>
      <c r="U85" s="288"/>
    </row>
    <row r="86" spans="1:21" s="170" customFormat="1" ht="94.5" outlineLevel="1" x14ac:dyDescent="0.25">
      <c r="A86" s="241">
        <v>53</v>
      </c>
      <c r="B86" s="289" t="s">
        <v>181</v>
      </c>
      <c r="C86" s="260" t="s">
        <v>179</v>
      </c>
      <c r="D86" s="260" t="s">
        <v>149</v>
      </c>
      <c r="E86" s="260"/>
      <c r="F86" s="260"/>
      <c r="G86" s="260"/>
      <c r="H86" s="260"/>
      <c r="I86" s="260"/>
      <c r="J86" s="260"/>
      <c r="K86" s="242" t="s">
        <v>363</v>
      </c>
      <c r="L86" s="242" t="s">
        <v>182</v>
      </c>
      <c r="M86" s="242" t="s">
        <v>57</v>
      </c>
      <c r="N86" s="293">
        <v>8944984.0899999999</v>
      </c>
      <c r="O86" s="233">
        <v>8944984.0899999999</v>
      </c>
      <c r="P86" s="294">
        <v>7.4999999999999997E-3</v>
      </c>
      <c r="Q86" s="233">
        <f>2425758.4+151609.9</f>
        <v>2577368.2999999998</v>
      </c>
      <c r="R86" s="233">
        <f>881276.03+25084.35+24380.12</f>
        <v>930740.5</v>
      </c>
      <c r="S86" s="238">
        <f t="shared" si="6"/>
        <v>6367615.79</v>
      </c>
      <c r="T86" s="325" t="s">
        <v>82</v>
      </c>
      <c r="U86" s="169"/>
    </row>
    <row r="87" spans="1:21" s="170" customFormat="1" ht="55.5" customHeight="1" outlineLevel="1" x14ac:dyDescent="0.25">
      <c r="A87" s="467">
        <v>54</v>
      </c>
      <c r="B87" s="474" t="s">
        <v>183</v>
      </c>
      <c r="C87" s="468" t="s">
        <v>179</v>
      </c>
      <c r="D87" s="468" t="s">
        <v>149</v>
      </c>
      <c r="E87" s="260"/>
      <c r="F87" s="260"/>
      <c r="G87" s="260"/>
      <c r="H87" s="260"/>
      <c r="I87" s="260"/>
      <c r="J87" s="260"/>
      <c r="K87" s="468" t="s">
        <v>364</v>
      </c>
      <c r="L87" s="242" t="s">
        <v>184</v>
      </c>
      <c r="M87" s="242" t="s">
        <v>3</v>
      </c>
      <c r="N87" s="293">
        <v>93025000</v>
      </c>
      <c r="O87" s="233">
        <v>93025000</v>
      </c>
      <c r="P87" s="294">
        <v>7.4999999999999997E-3</v>
      </c>
      <c r="Q87" s="233">
        <f>13953750+930250</f>
        <v>14884000</v>
      </c>
      <c r="R87" s="233">
        <v>294653.5</v>
      </c>
      <c r="S87" s="238">
        <f t="shared" si="6"/>
        <v>78141000</v>
      </c>
      <c r="T87" s="465" t="s">
        <v>82</v>
      </c>
      <c r="U87" s="169"/>
    </row>
    <row r="88" spans="1:21" s="170" customFormat="1" ht="55.5" customHeight="1" outlineLevel="1" x14ac:dyDescent="0.25">
      <c r="A88" s="457"/>
      <c r="B88" s="475"/>
      <c r="C88" s="460"/>
      <c r="D88" s="460"/>
      <c r="E88" s="260"/>
      <c r="F88" s="260"/>
      <c r="G88" s="260"/>
      <c r="H88" s="260"/>
      <c r="I88" s="260"/>
      <c r="J88" s="260"/>
      <c r="K88" s="460"/>
      <c r="L88" s="242" t="s">
        <v>184</v>
      </c>
      <c r="M88" s="242" t="s">
        <v>57</v>
      </c>
      <c r="N88" s="293">
        <v>5217725</v>
      </c>
      <c r="O88" s="233">
        <v>5217725</v>
      </c>
      <c r="P88" s="294">
        <v>7.4999999999999997E-3</v>
      </c>
      <c r="Q88" s="233">
        <f>782658.5+52177.25</f>
        <v>834835.75</v>
      </c>
      <c r="R88" s="233">
        <v>16585.93</v>
      </c>
      <c r="S88" s="238">
        <f t="shared" si="6"/>
        <v>4382889.25</v>
      </c>
      <c r="T88" s="466"/>
      <c r="U88" s="169"/>
    </row>
    <row r="89" spans="1:21" s="170" customFormat="1" ht="94.5" outlineLevel="1" x14ac:dyDescent="0.25">
      <c r="A89" s="241">
        <v>55</v>
      </c>
      <c r="B89" s="289" t="s">
        <v>185</v>
      </c>
      <c r="C89" s="260" t="s">
        <v>179</v>
      </c>
      <c r="D89" s="260" t="s">
        <v>149</v>
      </c>
      <c r="E89" s="260"/>
      <c r="F89" s="260"/>
      <c r="G89" s="260"/>
      <c r="H89" s="260"/>
      <c r="I89" s="260"/>
      <c r="J89" s="260"/>
      <c r="K89" s="242" t="s">
        <v>365</v>
      </c>
      <c r="L89" s="242" t="s">
        <v>186</v>
      </c>
      <c r="M89" s="242" t="s">
        <v>57</v>
      </c>
      <c r="N89" s="293">
        <v>1989000</v>
      </c>
      <c r="O89" s="233">
        <v>1989000</v>
      </c>
      <c r="P89" s="294">
        <v>7.4999999999999997E-3</v>
      </c>
      <c r="Q89" s="233">
        <f>337118.7+33711.86</f>
        <v>370830.56</v>
      </c>
      <c r="R89" s="233">
        <v>6177.58</v>
      </c>
      <c r="S89" s="238">
        <f t="shared" si="6"/>
        <v>1618169.44</v>
      </c>
      <c r="T89" s="325" t="s">
        <v>82</v>
      </c>
      <c r="U89" s="169"/>
    </row>
    <row r="90" spans="1:21" s="170" customFormat="1" ht="108" outlineLevel="1" x14ac:dyDescent="0.25">
      <c r="A90" s="241">
        <v>56</v>
      </c>
      <c r="B90" s="289" t="s">
        <v>311</v>
      </c>
      <c r="C90" s="260" t="s">
        <v>312</v>
      </c>
      <c r="D90" s="260" t="s">
        <v>149</v>
      </c>
      <c r="E90" s="260" t="s">
        <v>463</v>
      </c>
      <c r="F90" s="260">
        <v>2190000</v>
      </c>
      <c r="G90" s="260"/>
      <c r="H90" s="260"/>
      <c r="I90" s="260"/>
      <c r="J90" s="260"/>
      <c r="K90" s="260" t="s">
        <v>366</v>
      </c>
      <c r="L90" s="260" t="s">
        <v>313</v>
      </c>
      <c r="M90" s="242" t="s">
        <v>3</v>
      </c>
      <c r="N90" s="293">
        <v>2047212646</v>
      </c>
      <c r="O90" s="281">
        <v>2047212646</v>
      </c>
      <c r="P90" s="294">
        <v>0.02</v>
      </c>
      <c r="Q90" s="233">
        <v>0</v>
      </c>
      <c r="R90" s="233">
        <f>88017538.4+20640391</f>
        <v>108657929.40000001</v>
      </c>
      <c r="S90" s="238">
        <v>2047212646</v>
      </c>
      <c r="T90" s="325" t="s">
        <v>82</v>
      </c>
      <c r="U90" s="169"/>
    </row>
    <row r="91" spans="1:21" s="170" customFormat="1" ht="256.5" outlineLevel="1" x14ac:dyDescent="0.25">
      <c r="A91" s="259">
        <v>57</v>
      </c>
      <c r="B91" s="289" t="s">
        <v>187</v>
      </c>
      <c r="C91" s="260" t="s">
        <v>188</v>
      </c>
      <c r="D91" s="260" t="s">
        <v>99</v>
      </c>
      <c r="E91" s="260"/>
      <c r="F91" s="260"/>
      <c r="G91" s="260"/>
      <c r="H91" s="260"/>
      <c r="I91" s="260"/>
      <c r="J91" s="260"/>
      <c r="K91" s="260" t="s">
        <v>367</v>
      </c>
      <c r="L91" s="260" t="s">
        <v>189</v>
      </c>
      <c r="M91" s="242" t="s">
        <v>57</v>
      </c>
      <c r="N91" s="293">
        <v>2217000</v>
      </c>
      <c r="O91" s="293">
        <v>2217000</v>
      </c>
      <c r="P91" s="295">
        <v>0.02</v>
      </c>
      <c r="Q91" s="233">
        <f>1656550.78+18166.04+7000680/387.28+18122.86</f>
        <v>1710916.2137740138</v>
      </c>
      <c r="R91" s="233">
        <f>108750.120345235+1633.42+698950/387.28+1809.39</f>
        <v>113997.69692238848</v>
      </c>
      <c r="S91" s="238">
        <v>1010837.1</v>
      </c>
      <c r="T91" s="325" t="s">
        <v>190</v>
      </c>
      <c r="U91" s="169"/>
    </row>
    <row r="92" spans="1:21" s="170" customFormat="1" ht="48.75" customHeight="1" outlineLevel="1" x14ac:dyDescent="0.25">
      <c r="A92" s="241">
        <v>58</v>
      </c>
      <c r="B92" s="237" t="s">
        <v>300</v>
      </c>
      <c r="C92" s="242" t="s">
        <v>301</v>
      </c>
      <c r="D92" s="242" t="s">
        <v>302</v>
      </c>
      <c r="E92" s="242" t="s">
        <v>35</v>
      </c>
      <c r="F92" s="242">
        <v>20000000</v>
      </c>
      <c r="G92" s="242">
        <v>4199559.68</v>
      </c>
      <c r="H92" s="242" t="s">
        <v>304</v>
      </c>
      <c r="I92" s="242"/>
      <c r="J92" s="242"/>
      <c r="K92" s="242" t="s">
        <v>368</v>
      </c>
      <c r="L92" s="260" t="s">
        <v>303</v>
      </c>
      <c r="M92" s="242" t="s">
        <v>35</v>
      </c>
      <c r="N92" s="293">
        <f>4199559.68+12720691.2+1113060.48+1966688.64</f>
        <v>20000000</v>
      </c>
      <c r="O92" s="293">
        <f>N92</f>
        <v>20000000</v>
      </c>
      <c r="P92" s="295" t="s">
        <v>304</v>
      </c>
      <c r="Q92" s="233"/>
      <c r="R92" s="296">
        <f>77849.88+103888.1</f>
        <v>181737.98</v>
      </c>
      <c r="S92" s="238">
        <f>O92-Q92</f>
        <v>20000000</v>
      </c>
      <c r="T92" s="325" t="s">
        <v>305</v>
      </c>
      <c r="U92" s="169"/>
    </row>
    <row r="93" spans="1:21" s="176" customFormat="1" ht="38.25" customHeight="1" outlineLevel="1" x14ac:dyDescent="0.2">
      <c r="A93" s="505">
        <v>59</v>
      </c>
      <c r="B93" s="486" t="s">
        <v>191</v>
      </c>
      <c r="C93" s="476" t="s">
        <v>192</v>
      </c>
      <c r="D93" s="476"/>
      <c r="E93" s="297" t="s">
        <v>57</v>
      </c>
      <c r="F93" s="297"/>
      <c r="G93" s="297"/>
      <c r="H93" s="297"/>
      <c r="I93" s="297"/>
      <c r="J93" s="297"/>
      <c r="K93" s="477" t="s">
        <v>369</v>
      </c>
      <c r="L93" s="470" t="s">
        <v>193</v>
      </c>
      <c r="M93" s="240" t="s">
        <v>57</v>
      </c>
      <c r="N93" s="286">
        <v>237758.39</v>
      </c>
      <c r="O93" s="233">
        <v>237758.39</v>
      </c>
      <c r="P93" s="251"/>
      <c r="Q93" s="233"/>
      <c r="R93" s="233"/>
      <c r="S93" s="286">
        <f>O93-Q93</f>
        <v>237758.39</v>
      </c>
      <c r="T93" s="465" t="s">
        <v>82</v>
      </c>
      <c r="U93" s="291"/>
    </row>
    <row r="94" spans="1:21" s="176" customFormat="1" ht="45" customHeight="1" outlineLevel="1" x14ac:dyDescent="0.2">
      <c r="A94" s="505"/>
      <c r="B94" s="475"/>
      <c r="C94" s="460"/>
      <c r="D94" s="460"/>
      <c r="E94" s="246"/>
      <c r="F94" s="246"/>
      <c r="G94" s="246"/>
      <c r="H94" s="246"/>
      <c r="I94" s="246"/>
      <c r="J94" s="246"/>
      <c r="K94" s="461"/>
      <c r="L94" s="461"/>
      <c r="M94" s="266" t="s">
        <v>3</v>
      </c>
      <c r="N94" s="298">
        <v>28883700</v>
      </c>
      <c r="O94" s="233">
        <v>28883700</v>
      </c>
      <c r="P94" s="299"/>
      <c r="Q94" s="233"/>
      <c r="R94" s="233"/>
      <c r="S94" s="286">
        <f>O94-Q94</f>
        <v>28883700</v>
      </c>
      <c r="T94" s="466"/>
      <c r="U94" s="291"/>
    </row>
    <row r="95" spans="1:21" s="174" customFormat="1" ht="40.5" customHeight="1" outlineLevel="1" x14ac:dyDescent="0.25">
      <c r="A95" s="259">
        <v>60</v>
      </c>
      <c r="B95" s="289" t="s">
        <v>117</v>
      </c>
      <c r="C95" s="260" t="s">
        <v>118</v>
      </c>
      <c r="D95" s="260" t="s">
        <v>119</v>
      </c>
      <c r="E95" s="260"/>
      <c r="F95" s="260"/>
      <c r="G95" s="260"/>
      <c r="H95" s="260"/>
      <c r="I95" s="260"/>
      <c r="J95" s="260"/>
      <c r="K95" s="260" t="s">
        <v>370</v>
      </c>
      <c r="L95" s="260" t="s">
        <v>120</v>
      </c>
      <c r="M95" s="260" t="s">
        <v>3</v>
      </c>
      <c r="N95" s="281">
        <v>303444194</v>
      </c>
      <c r="O95" s="233">
        <v>303444194</v>
      </c>
      <c r="P95" s="299">
        <v>0</v>
      </c>
      <c r="Q95" s="233"/>
      <c r="R95" s="233"/>
      <c r="S95" s="248">
        <f>O95-Q95</f>
        <v>303444194</v>
      </c>
      <c r="T95" s="325" t="s">
        <v>82</v>
      </c>
      <c r="U95" s="224"/>
    </row>
    <row r="96" spans="1:21" s="301" customFormat="1" ht="47.25" customHeight="1" outlineLevel="1" x14ac:dyDescent="0.25">
      <c r="A96" s="241">
        <v>61</v>
      </c>
      <c r="B96" s="242" t="s">
        <v>194</v>
      </c>
      <c r="C96" s="242" t="s">
        <v>195</v>
      </c>
      <c r="D96" s="242" t="s">
        <v>196</v>
      </c>
      <c r="E96" s="242" t="s">
        <v>57</v>
      </c>
      <c r="F96" s="242"/>
      <c r="G96" s="242"/>
      <c r="H96" s="242"/>
      <c r="I96" s="242"/>
      <c r="J96" s="242"/>
      <c r="K96" s="282" t="s">
        <v>371</v>
      </c>
      <c r="L96" s="242" t="s">
        <v>197</v>
      </c>
      <c r="M96" s="242" t="s">
        <v>57</v>
      </c>
      <c r="N96" s="233">
        <v>10000000</v>
      </c>
      <c r="O96" s="233">
        <v>10000000</v>
      </c>
      <c r="P96" s="243" t="s">
        <v>198</v>
      </c>
      <c r="Q96" s="233">
        <v>2553676.86</v>
      </c>
      <c r="R96" s="233">
        <f>3533579.15874841+18816925/512.41+16022937.4/426.85+37537.63+37130+36723+37538</f>
        <v>3756767.8188604596</v>
      </c>
      <c r="S96" s="238">
        <f t="shared" si="6"/>
        <v>7446323.1400000006</v>
      </c>
      <c r="T96" s="324" t="s">
        <v>199</v>
      </c>
      <c r="U96" s="300"/>
    </row>
    <row r="97" spans="1:22" s="301" customFormat="1" ht="51" customHeight="1" outlineLevel="1" thickBot="1" x14ac:dyDescent="0.3">
      <c r="A97" s="241">
        <v>62</v>
      </c>
      <c r="B97" s="242" t="s">
        <v>194</v>
      </c>
      <c r="C97" s="242" t="s">
        <v>139</v>
      </c>
      <c r="D97" s="242" t="s">
        <v>196</v>
      </c>
      <c r="E97" s="242"/>
      <c r="F97" s="242"/>
      <c r="G97" s="242"/>
      <c r="H97" s="242"/>
      <c r="I97" s="242"/>
      <c r="J97" s="242"/>
      <c r="K97" s="282" t="s">
        <v>372</v>
      </c>
      <c r="L97" s="242" t="s">
        <v>200</v>
      </c>
      <c r="M97" s="242" t="s">
        <v>3</v>
      </c>
      <c r="N97" s="233">
        <v>8000000000</v>
      </c>
      <c r="O97" s="233">
        <v>8000000000</v>
      </c>
      <c r="P97" s="243" t="s">
        <v>201</v>
      </c>
      <c r="Q97" s="233"/>
      <c r="R97" s="233">
        <f>3496438357+79342466+80657534+79342466+79342466</f>
        <v>3815123289</v>
      </c>
      <c r="S97" s="238">
        <f>O97-Q97</f>
        <v>8000000000</v>
      </c>
      <c r="T97" s="324" t="s">
        <v>202</v>
      </c>
      <c r="U97" s="300"/>
    </row>
    <row r="98" spans="1:22" s="175" customFormat="1" ht="24.75" customHeight="1" x14ac:dyDescent="0.25">
      <c r="A98" s="492" t="s">
        <v>203</v>
      </c>
      <c r="B98" s="493"/>
      <c r="C98" s="493"/>
      <c r="D98" s="496" t="s">
        <v>35</v>
      </c>
      <c r="E98" s="496"/>
      <c r="F98" s="496"/>
      <c r="G98" s="496"/>
      <c r="H98" s="496"/>
      <c r="I98" s="496"/>
      <c r="J98" s="496"/>
      <c r="K98" s="496"/>
      <c r="L98" s="496"/>
      <c r="M98" s="199"/>
      <c r="N98" s="194">
        <f>SUMIF($M$73:$M$97,D98,$N$73:$N$97)</f>
        <v>41500000</v>
      </c>
      <c r="O98" s="194">
        <f>SUMIF($M$73:$M$97,D98,$O$73:$O$97)</f>
        <v>21957228.170000002</v>
      </c>
      <c r="P98" s="194"/>
      <c r="Q98" s="194">
        <f>SUMIF($M$73:$M$97,D98,$Q$73:$Q$97)</f>
        <v>25454.571703756206</v>
      </c>
      <c r="R98" s="194">
        <f>SUMIF($M$73:$M$97,D98,$R$73:$R$97)</f>
        <v>353941.7998881822</v>
      </c>
      <c r="S98" s="194">
        <f>SUMIF($M$73:$M$97,D98,$S$73:$S$97)</f>
        <v>21931773.598296244</v>
      </c>
      <c r="T98" s="326"/>
      <c r="U98" s="178"/>
    </row>
    <row r="99" spans="1:22" s="175" customFormat="1" ht="39" customHeight="1" x14ac:dyDescent="0.25">
      <c r="A99" s="494"/>
      <c r="B99" s="495"/>
      <c r="C99" s="495"/>
      <c r="D99" s="497" t="s">
        <v>3</v>
      </c>
      <c r="E99" s="497"/>
      <c r="F99" s="497"/>
      <c r="G99" s="497"/>
      <c r="H99" s="497"/>
      <c r="I99" s="497"/>
      <c r="J99" s="497"/>
      <c r="K99" s="497"/>
      <c r="L99" s="497"/>
      <c r="M99" s="195"/>
      <c r="N99" s="196">
        <f>SUMIF($M$73:$M$97,D99,$N$73:$N$97)</f>
        <v>16940988508.200001</v>
      </c>
      <c r="O99" s="196">
        <f>SUMIF($M$73:$M$97,D99,$O$73:$O$97)</f>
        <v>17067946824</v>
      </c>
      <c r="P99" s="196"/>
      <c r="Q99" s="196">
        <f>SUMIF($M$73:$M$97,D99,$Q$73:$Q$97)</f>
        <v>3542407760.9000001</v>
      </c>
      <c r="R99" s="196">
        <f>SUMIF($M$73:$M$97,D99,$R$73:$R$97)</f>
        <v>3926232275.4000001</v>
      </c>
      <c r="S99" s="196">
        <f>SUMIF($M$73:$M$97,D99,$S$73:$S$97)</f>
        <v>13525539063.1</v>
      </c>
      <c r="T99" s="327"/>
      <c r="U99" s="178"/>
    </row>
    <row r="100" spans="1:22" s="175" customFormat="1" ht="39" customHeight="1" x14ac:dyDescent="0.25">
      <c r="A100" s="494"/>
      <c r="B100" s="495"/>
      <c r="C100" s="495"/>
      <c r="D100" s="497" t="s">
        <v>57</v>
      </c>
      <c r="E100" s="497"/>
      <c r="F100" s="497"/>
      <c r="G100" s="497"/>
      <c r="H100" s="497"/>
      <c r="I100" s="497"/>
      <c r="J100" s="497"/>
      <c r="K100" s="497"/>
      <c r="L100" s="497"/>
      <c r="M100" s="195"/>
      <c r="N100" s="196">
        <f>SUMIF($M$73:$M$97,D100,$N$73:$N$97)</f>
        <v>32967799.48</v>
      </c>
      <c r="O100" s="196">
        <f>SUMIF($M$73:$M$97,D100,$O$73:$O$97)</f>
        <v>29744398.170000002</v>
      </c>
      <c r="P100" s="196"/>
      <c r="Q100" s="196">
        <f>SUMIF($M$73:$M$97,D100,$Q$73:$Q$97)</f>
        <v>8714316.2372333203</v>
      </c>
      <c r="R100" s="196">
        <f>SUMIF($M$73:$M$97,D100,$R$73:$R$97)</f>
        <v>5199897.7057473464</v>
      </c>
      <c r="S100" s="196">
        <f>SUMIF($M$73:$M$97,D100,$S$73:$S$97)</f>
        <v>21534835.246540692</v>
      </c>
      <c r="T100" s="327"/>
      <c r="U100" s="178"/>
    </row>
    <row r="101" spans="1:22" s="175" customFormat="1" ht="39" customHeight="1" thickBot="1" x14ac:dyDescent="0.3">
      <c r="A101" s="502"/>
      <c r="B101" s="503"/>
      <c r="C101" s="503"/>
      <c r="D101" s="504" t="s">
        <v>77</v>
      </c>
      <c r="E101" s="504"/>
      <c r="F101" s="504"/>
      <c r="G101" s="504"/>
      <c r="H101" s="504"/>
      <c r="I101" s="504"/>
      <c r="J101" s="504"/>
      <c r="K101" s="504"/>
      <c r="L101" s="504"/>
      <c r="M101" s="197"/>
      <c r="N101" s="198">
        <f>SUMIF($M$73:$M$97,D101,$N$73:$N$97)</f>
        <v>0</v>
      </c>
      <c r="O101" s="198">
        <f>SUMIF($M$73:$M$97,D101,$O$73:$O$97)</f>
        <v>0</v>
      </c>
      <c r="P101" s="198"/>
      <c r="Q101" s="198">
        <f>SUMIF($M$73:$M$97,D101,$Q$73:$Q$97)</f>
        <v>0</v>
      </c>
      <c r="R101" s="198">
        <f>SUMIF($M$73:$M$97,D101,$R$73:$R$97)</f>
        <v>0</v>
      </c>
      <c r="S101" s="198">
        <f>SUMIF($M$73:$M$97,D101,$S$73:$S$97)</f>
        <v>0</v>
      </c>
      <c r="T101" s="329"/>
      <c r="U101" s="178"/>
    </row>
    <row r="102" spans="1:22" s="176" customFormat="1" ht="156.75" customHeight="1" outlineLevel="1" x14ac:dyDescent="0.2">
      <c r="A102" s="241">
        <v>63</v>
      </c>
      <c r="B102" s="260" t="s">
        <v>0</v>
      </c>
      <c r="C102" s="260" t="s">
        <v>1</v>
      </c>
      <c r="D102" s="260"/>
      <c r="E102" s="246"/>
      <c r="F102" s="246"/>
      <c r="G102" s="246"/>
      <c r="H102" s="246"/>
      <c r="I102" s="246"/>
      <c r="J102" s="246"/>
      <c r="K102" s="265" t="s">
        <v>373</v>
      </c>
      <c r="L102" s="265" t="s">
        <v>204</v>
      </c>
      <c r="M102" s="242" t="s">
        <v>3</v>
      </c>
      <c r="N102" s="298">
        <f>3047000000+3000000000</f>
        <v>6047000000</v>
      </c>
      <c r="O102" s="253">
        <v>6000000000</v>
      </c>
      <c r="P102" s="299"/>
      <c r="Q102" s="253">
        <f>4439902959+260956717.5+995441267.7+73262192.2+103703140+88648827.6+23704487.9</f>
        <v>5985619591.8999996</v>
      </c>
      <c r="R102" s="253"/>
      <c r="S102" s="281">
        <f>O102-Q102</f>
        <v>14380408.100000381</v>
      </c>
      <c r="T102" s="331" t="s">
        <v>82</v>
      </c>
      <c r="U102" s="291"/>
    </row>
    <row r="103" spans="1:22" s="177" customFormat="1" ht="135" outlineLevel="1" x14ac:dyDescent="0.2">
      <c r="A103" s="241">
        <v>64</v>
      </c>
      <c r="B103" s="260" t="s">
        <v>4</v>
      </c>
      <c r="C103" s="260" t="s">
        <v>5</v>
      </c>
      <c r="D103" s="260"/>
      <c r="E103" s="246"/>
      <c r="F103" s="246"/>
      <c r="G103" s="246"/>
      <c r="H103" s="246"/>
      <c r="I103" s="246"/>
      <c r="J103" s="246"/>
      <c r="K103" s="265"/>
      <c r="L103" s="265" t="s">
        <v>389</v>
      </c>
      <c r="M103" s="242" t="s">
        <v>3</v>
      </c>
      <c r="N103" s="233">
        <f>2000000000+7300000000</f>
        <v>9300000000</v>
      </c>
      <c r="O103" s="253">
        <f>9024295000</f>
        <v>9024295000</v>
      </c>
      <c r="P103" s="299" t="s">
        <v>205</v>
      </c>
      <c r="Q103" s="281">
        <f>140537000+5009140+4849511288.30001+293553946.6+277518975.4+298090130.9+261563425.9+273040297.9+246795505.7+231942835.5+200000+276040115.2+210499563.5+221320560.6+300000+193123482.7+199186343.7+185073611.4+184150969.4+170369357.1+151027787.7+90490766.8+32284422.2</f>
        <v>8791629526.5000076</v>
      </c>
      <c r="R103" s="281">
        <f>34040214.6+16030636.8+1797857.1+7375602.5+3983531.1+11814600.3+22459610.6+9668538.8+11671711.4+6908264.6+1329981.6</f>
        <v>127080549.39999999</v>
      </c>
      <c r="S103" s="281">
        <f>O103-Q103</f>
        <v>232665473.49999237</v>
      </c>
      <c r="T103" s="331" t="s">
        <v>82</v>
      </c>
      <c r="U103" s="288"/>
    </row>
    <row r="104" spans="1:22" s="176" customFormat="1" ht="175.5" outlineLevel="1" x14ac:dyDescent="0.2">
      <c r="A104" s="241">
        <v>65</v>
      </c>
      <c r="B104" s="260" t="s">
        <v>4</v>
      </c>
      <c r="C104" s="260" t="s">
        <v>7</v>
      </c>
      <c r="D104" s="260"/>
      <c r="E104" s="246"/>
      <c r="F104" s="246"/>
      <c r="G104" s="246"/>
      <c r="H104" s="246"/>
      <c r="I104" s="246"/>
      <c r="J104" s="246"/>
      <c r="K104" s="265" t="s">
        <v>374</v>
      </c>
      <c r="L104" s="265" t="s">
        <v>8</v>
      </c>
      <c r="M104" s="242" t="s">
        <v>3</v>
      </c>
      <c r="N104" s="233">
        <v>562500000</v>
      </c>
      <c r="O104" s="253">
        <v>562500000</v>
      </c>
      <c r="P104" s="299"/>
      <c r="Q104" s="253"/>
      <c r="R104" s="253"/>
      <c r="S104" s="248">
        <f t="shared" ref="S104:S124" si="7">O104-Q104</f>
        <v>562500000</v>
      </c>
      <c r="T104" s="331" t="s">
        <v>82</v>
      </c>
      <c r="U104" s="291"/>
    </row>
    <row r="105" spans="1:22" s="176" customFormat="1" ht="147" customHeight="1" outlineLevel="1" x14ac:dyDescent="0.2">
      <c r="A105" s="241">
        <v>66</v>
      </c>
      <c r="B105" s="468" t="s">
        <v>0</v>
      </c>
      <c r="C105" s="468" t="s">
        <v>9</v>
      </c>
      <c r="D105" s="260"/>
      <c r="E105" s="246"/>
      <c r="F105" s="246"/>
      <c r="G105" s="246"/>
      <c r="H105" s="246"/>
      <c r="I105" s="246"/>
      <c r="J105" s="246"/>
      <c r="K105" s="265" t="s">
        <v>10</v>
      </c>
      <c r="L105" s="265" t="s">
        <v>11</v>
      </c>
      <c r="M105" s="242" t="s">
        <v>3</v>
      </c>
      <c r="N105" s="233">
        <v>2000000000</v>
      </c>
      <c r="O105" s="253">
        <v>2000000000</v>
      </c>
      <c r="P105" s="251">
        <v>2.7E-2</v>
      </c>
      <c r="Q105" s="253"/>
      <c r="R105" s="238">
        <f>68417269.8+13462993.2+49643.9+1421840.5+38566246.5+491534.9+1119195.4</f>
        <v>123528724.20000002</v>
      </c>
      <c r="S105" s="238">
        <f t="shared" si="7"/>
        <v>2000000000</v>
      </c>
      <c r="T105" s="331" t="s">
        <v>82</v>
      </c>
      <c r="U105" s="291"/>
    </row>
    <row r="106" spans="1:22" s="177" customFormat="1" ht="144.75" customHeight="1" outlineLevel="1" x14ac:dyDescent="0.2">
      <c r="A106" s="241">
        <v>67</v>
      </c>
      <c r="B106" s="476"/>
      <c r="C106" s="476"/>
      <c r="D106" s="246"/>
      <c r="E106" s="246"/>
      <c r="F106" s="246"/>
      <c r="G106" s="246"/>
      <c r="H106" s="246"/>
      <c r="I106" s="246"/>
      <c r="J106" s="246"/>
      <c r="K106" s="265" t="s">
        <v>12</v>
      </c>
      <c r="L106" s="265" t="s">
        <v>13</v>
      </c>
      <c r="M106" s="270" t="s">
        <v>3</v>
      </c>
      <c r="N106" s="233">
        <v>2000000000</v>
      </c>
      <c r="O106" s="253">
        <v>2000000000</v>
      </c>
      <c r="P106" s="302">
        <v>5.7000000000000002E-2</v>
      </c>
      <c r="Q106" s="253"/>
      <c r="R106" s="253">
        <f>153819379.6+28421448.8+780809.1+528470.5+2614769.3+283790.1</f>
        <v>186448667.40000001</v>
      </c>
      <c r="S106" s="238">
        <f t="shared" si="7"/>
        <v>2000000000</v>
      </c>
      <c r="T106" s="331" t="s">
        <v>82</v>
      </c>
      <c r="U106" s="288"/>
    </row>
    <row r="107" spans="1:22" s="177" customFormat="1" ht="90.75" customHeight="1" outlineLevel="1" thickBot="1" x14ac:dyDescent="0.25">
      <c r="A107" s="303">
        <v>68</v>
      </c>
      <c r="B107" s="543"/>
      <c r="C107" s="543"/>
      <c r="D107" s="304"/>
      <c r="E107" s="305"/>
      <c r="F107" s="305"/>
      <c r="G107" s="305"/>
      <c r="H107" s="305"/>
      <c r="I107" s="305"/>
      <c r="J107" s="305"/>
      <c r="K107" s="265" t="s">
        <v>390</v>
      </c>
      <c r="L107" s="306" t="s">
        <v>206</v>
      </c>
      <c r="M107" s="307" t="s">
        <v>3</v>
      </c>
      <c r="N107" s="308">
        <v>5000000000</v>
      </c>
      <c r="O107" s="309">
        <v>5000000000</v>
      </c>
      <c r="P107" s="310">
        <v>2.7E-2</v>
      </c>
      <c r="Q107" s="309"/>
      <c r="R107" s="309">
        <f>34209157.5+76580313.4+83507353.3+1840160.7</f>
        <v>196136984.89999998</v>
      </c>
      <c r="S107" s="311">
        <f t="shared" si="7"/>
        <v>5000000000</v>
      </c>
      <c r="T107" s="331" t="s">
        <v>82</v>
      </c>
      <c r="U107" s="288"/>
    </row>
    <row r="108" spans="1:22" s="175" customFormat="1" ht="30" customHeight="1" x14ac:dyDescent="0.25">
      <c r="A108" s="509" t="s">
        <v>207</v>
      </c>
      <c r="B108" s="510"/>
      <c r="C108" s="510"/>
      <c r="D108" s="511" t="s">
        <v>35</v>
      </c>
      <c r="E108" s="512"/>
      <c r="F108" s="512"/>
      <c r="G108" s="512"/>
      <c r="H108" s="512"/>
      <c r="I108" s="512"/>
      <c r="J108" s="512"/>
      <c r="K108" s="512"/>
      <c r="L108" s="513"/>
      <c r="M108" s="200"/>
      <c r="N108" s="201">
        <f>SUMIF($M$102:$M$107,D108,$N$102:$N$107)</f>
        <v>0</v>
      </c>
      <c r="O108" s="201">
        <f>SUMIF($M$102:$M$107,D108,$O$102:$O$107)</f>
        <v>0</v>
      </c>
      <c r="P108" s="201"/>
      <c r="Q108" s="201">
        <f>SUMIF($M$102:$M$107,D108,$Q$102:$Q$107)</f>
        <v>0</v>
      </c>
      <c r="R108" s="201">
        <f>SUMIF($M$102:$M$107,D108,$R$102:$R$107)</f>
        <v>0</v>
      </c>
      <c r="S108" s="201">
        <f>SUMIF($M$102:$M$107,D108,$S$102:$S$107)</f>
        <v>0</v>
      </c>
      <c r="T108" s="326"/>
      <c r="U108" s="291"/>
      <c r="V108" s="176"/>
    </row>
    <row r="109" spans="1:22" s="175" customFormat="1" ht="27" customHeight="1" x14ac:dyDescent="0.25">
      <c r="A109" s="494"/>
      <c r="B109" s="495"/>
      <c r="C109" s="495"/>
      <c r="D109" s="514" t="s">
        <v>3</v>
      </c>
      <c r="E109" s="515"/>
      <c r="F109" s="515"/>
      <c r="G109" s="515"/>
      <c r="H109" s="515"/>
      <c r="I109" s="515"/>
      <c r="J109" s="515"/>
      <c r="K109" s="515"/>
      <c r="L109" s="516"/>
      <c r="M109" s="195"/>
      <c r="N109" s="201">
        <f>SUMIF($M$102:$M$107,D109,$N$102:$N$107)</f>
        <v>24909500000</v>
      </c>
      <c r="O109" s="196">
        <f>SUMIF($M$102:$M$107,D109,$O$102:$O$107)</f>
        <v>24586795000</v>
      </c>
      <c r="P109" s="196"/>
      <c r="Q109" s="196">
        <f>SUMIF($M$102:$M$107,D109,$Q$102:$Q$107)</f>
        <v>14777249118.400007</v>
      </c>
      <c r="R109" s="196">
        <f>SUMIF($M$102:$M$107,D109,$R$102:$R$107)</f>
        <v>633194925.89999998</v>
      </c>
      <c r="S109" s="196">
        <f>SUMIF($M$102:$M$107,D109,$S$102:$S$107)</f>
        <v>9809545881.5999928</v>
      </c>
      <c r="T109" s="327"/>
      <c r="U109" s="291"/>
      <c r="V109" s="176"/>
    </row>
    <row r="110" spans="1:22" s="175" customFormat="1" ht="28.5" customHeight="1" x14ac:dyDescent="0.25">
      <c r="A110" s="494"/>
      <c r="B110" s="495"/>
      <c r="C110" s="495"/>
      <c r="D110" s="514" t="s">
        <v>57</v>
      </c>
      <c r="E110" s="515"/>
      <c r="F110" s="515"/>
      <c r="G110" s="515"/>
      <c r="H110" s="515"/>
      <c r="I110" s="515"/>
      <c r="J110" s="515"/>
      <c r="K110" s="515"/>
      <c r="L110" s="516"/>
      <c r="M110" s="195"/>
      <c r="N110" s="201">
        <f>SUMIF($M$102:$M$107,D110,$N$102:$N$107)</f>
        <v>0</v>
      </c>
      <c r="O110" s="196">
        <f>SUMIF($M$102:$M$107,D110,$O$102:$O$107)</f>
        <v>0</v>
      </c>
      <c r="P110" s="196"/>
      <c r="Q110" s="196">
        <f>SUMIF($M$102:$M$107,D110,$Q$102:$Q$107)</f>
        <v>0</v>
      </c>
      <c r="R110" s="196">
        <f>SUMIF($M$102:$M$107,D110,$R$102:$R$107)</f>
        <v>0</v>
      </c>
      <c r="S110" s="196">
        <f>SUMIF($M$102:$M$107,D110,$S$102:$S$107)</f>
        <v>0</v>
      </c>
      <c r="T110" s="327"/>
      <c r="U110" s="178"/>
    </row>
    <row r="111" spans="1:22" s="175" customFormat="1" ht="30" customHeight="1" thickBot="1" x14ac:dyDescent="0.3">
      <c r="A111" s="502"/>
      <c r="B111" s="503"/>
      <c r="C111" s="503"/>
      <c r="D111" s="499" t="s">
        <v>77</v>
      </c>
      <c r="E111" s="500"/>
      <c r="F111" s="500"/>
      <c r="G111" s="500"/>
      <c r="H111" s="500"/>
      <c r="I111" s="500"/>
      <c r="J111" s="500"/>
      <c r="K111" s="500"/>
      <c r="L111" s="501"/>
      <c r="M111" s="197"/>
      <c r="N111" s="198">
        <f>SUMIF($M$102:$M$107,D111,$N$102:$N$107)</f>
        <v>0</v>
      </c>
      <c r="O111" s="198">
        <f>SUMIF($M$102:$M$107,D111,$O$102:$O$107)</f>
        <v>0</v>
      </c>
      <c r="P111" s="198"/>
      <c r="Q111" s="198">
        <f>SUMIF($M$102:$M$107,D111,$Q$102:$Q$107)</f>
        <v>0</v>
      </c>
      <c r="R111" s="198">
        <f>SUMIF($M$102:$M$107,D111,$R$102:$R$107)</f>
        <v>0</v>
      </c>
      <c r="S111" s="198">
        <f>SUMIF($M$102:$M$107,D111,$S$102:$S$107)</f>
        <v>0</v>
      </c>
      <c r="T111" s="329"/>
      <c r="U111" s="178"/>
    </row>
    <row r="112" spans="1:22" s="176" customFormat="1" ht="121.5" outlineLevel="1" x14ac:dyDescent="0.2">
      <c r="A112" s="278">
        <v>69</v>
      </c>
      <c r="B112" s="312" t="s">
        <v>208</v>
      </c>
      <c r="C112" s="312" t="s">
        <v>209</v>
      </c>
      <c r="D112" s="260"/>
      <c r="E112" s="246"/>
      <c r="F112" s="246"/>
      <c r="G112" s="246"/>
      <c r="H112" s="246"/>
      <c r="I112" s="246"/>
      <c r="J112" s="246"/>
      <c r="K112" s="265" t="s">
        <v>375</v>
      </c>
      <c r="L112" s="265" t="s">
        <v>210</v>
      </c>
      <c r="M112" s="242" t="s">
        <v>3</v>
      </c>
      <c r="N112" s="313">
        <v>574491741</v>
      </c>
      <c r="O112" s="313">
        <v>574491741</v>
      </c>
      <c r="P112" s="314">
        <v>1E-4</v>
      </c>
      <c r="Q112" s="313">
        <f>132575017.2</f>
        <v>132575017.2</v>
      </c>
      <c r="R112" s="313">
        <f>85623+14165+39966.7</f>
        <v>139754.70000000001</v>
      </c>
      <c r="S112" s="269">
        <f t="shared" si="7"/>
        <v>441916723.80000001</v>
      </c>
      <c r="T112" s="332" t="s">
        <v>211</v>
      </c>
      <c r="U112" s="291"/>
    </row>
    <row r="113" spans="1:21" s="176" customFormat="1" ht="121.5" outlineLevel="1" x14ac:dyDescent="0.2">
      <c r="A113" s="241">
        <v>70</v>
      </c>
      <c r="B113" s="289" t="s">
        <v>212</v>
      </c>
      <c r="C113" s="289" t="s">
        <v>209</v>
      </c>
      <c r="D113" s="260"/>
      <c r="E113" s="246"/>
      <c r="F113" s="246"/>
      <c r="G113" s="246"/>
      <c r="H113" s="246"/>
      <c r="I113" s="246"/>
      <c r="J113" s="246"/>
      <c r="K113" s="265" t="s">
        <v>376</v>
      </c>
      <c r="L113" s="265" t="s">
        <v>213</v>
      </c>
      <c r="M113" s="242" t="s">
        <v>3</v>
      </c>
      <c r="N113" s="298">
        <v>98612371</v>
      </c>
      <c r="O113" s="286">
        <v>98612371</v>
      </c>
      <c r="P113" s="261">
        <v>1E-4</v>
      </c>
      <c r="Q113" s="286"/>
      <c r="R113" s="286">
        <v>17060</v>
      </c>
      <c r="S113" s="248">
        <f t="shared" si="7"/>
        <v>98612371</v>
      </c>
      <c r="T113" s="331" t="s">
        <v>214</v>
      </c>
      <c r="U113" s="291"/>
    </row>
    <row r="114" spans="1:21" s="176" customFormat="1" ht="121.5" outlineLevel="1" x14ac:dyDescent="0.2">
      <c r="A114" s="241">
        <v>71</v>
      </c>
      <c r="B114" s="289" t="s">
        <v>215</v>
      </c>
      <c r="C114" s="289" t="s">
        <v>209</v>
      </c>
      <c r="D114" s="260"/>
      <c r="E114" s="246"/>
      <c r="F114" s="246"/>
      <c r="G114" s="246"/>
      <c r="H114" s="246"/>
      <c r="I114" s="246"/>
      <c r="J114" s="246"/>
      <c r="K114" s="265" t="s">
        <v>377</v>
      </c>
      <c r="L114" s="265" t="s">
        <v>216</v>
      </c>
      <c r="M114" s="242" t="s">
        <v>3</v>
      </c>
      <c r="N114" s="298">
        <v>60132468</v>
      </c>
      <c r="O114" s="286">
        <v>60132468</v>
      </c>
      <c r="P114" s="261">
        <v>1E-4</v>
      </c>
      <c r="Q114" s="286">
        <f>4625574.5+4625574.5+4625574.5+4625574.5+4625575</f>
        <v>23127873</v>
      </c>
      <c r="R114" s="286">
        <f>10367+1511.2+1400+1500+1500</f>
        <v>16278.2</v>
      </c>
      <c r="S114" s="248">
        <f t="shared" si="7"/>
        <v>37004595</v>
      </c>
      <c r="T114" s="331" t="s">
        <v>217</v>
      </c>
      <c r="U114" s="315"/>
    </row>
    <row r="115" spans="1:21" s="176" customFormat="1" ht="121.5" outlineLevel="1" x14ac:dyDescent="0.2">
      <c r="A115" s="241">
        <v>72</v>
      </c>
      <c r="B115" s="289" t="s">
        <v>218</v>
      </c>
      <c r="C115" s="289" t="s">
        <v>209</v>
      </c>
      <c r="D115" s="260"/>
      <c r="E115" s="246"/>
      <c r="F115" s="246"/>
      <c r="G115" s="246"/>
      <c r="H115" s="246"/>
      <c r="I115" s="246"/>
      <c r="J115" s="246"/>
      <c r="K115" s="265" t="s">
        <v>378</v>
      </c>
      <c r="L115" s="265" t="s">
        <v>219</v>
      </c>
      <c r="M115" s="242" t="s">
        <v>3</v>
      </c>
      <c r="N115" s="233">
        <f>9500000+12453199</f>
        <v>21953199</v>
      </c>
      <c r="O115" s="286">
        <f>9500000+12453199</f>
        <v>21953199</v>
      </c>
      <c r="P115" s="261">
        <v>1E-4</v>
      </c>
      <c r="Q115" s="286"/>
      <c r="R115" s="286">
        <v>3720</v>
      </c>
      <c r="S115" s="248">
        <f t="shared" si="7"/>
        <v>21953199</v>
      </c>
      <c r="T115" s="331" t="s">
        <v>220</v>
      </c>
      <c r="U115" s="315"/>
    </row>
    <row r="116" spans="1:21" s="176" customFormat="1" ht="129.75" customHeight="1" outlineLevel="1" x14ac:dyDescent="0.2">
      <c r="A116" s="241">
        <v>73</v>
      </c>
      <c r="B116" s="289" t="s">
        <v>221</v>
      </c>
      <c r="C116" s="289" t="s">
        <v>209</v>
      </c>
      <c r="D116" s="260"/>
      <c r="E116" s="246"/>
      <c r="F116" s="246"/>
      <c r="G116" s="246"/>
      <c r="H116" s="246"/>
      <c r="I116" s="246"/>
      <c r="J116" s="246"/>
      <c r="K116" s="265" t="s">
        <v>378</v>
      </c>
      <c r="L116" s="265" t="s">
        <v>222</v>
      </c>
      <c r="M116" s="242" t="s">
        <v>3</v>
      </c>
      <c r="N116" s="298">
        <v>15801400</v>
      </c>
      <c r="O116" s="286">
        <v>15801400</v>
      </c>
      <c r="P116" s="261">
        <v>1E-4</v>
      </c>
      <c r="Q116" s="286"/>
      <c r="R116" s="286">
        <v>3500</v>
      </c>
      <c r="S116" s="248">
        <f t="shared" si="7"/>
        <v>15801400</v>
      </c>
      <c r="T116" s="331" t="s">
        <v>223</v>
      </c>
      <c r="U116" s="315"/>
    </row>
    <row r="117" spans="1:21" s="176" customFormat="1" ht="129.75" customHeight="1" outlineLevel="1" x14ac:dyDescent="0.2">
      <c r="A117" s="241">
        <v>74</v>
      </c>
      <c r="B117" s="289" t="s">
        <v>224</v>
      </c>
      <c r="C117" s="289" t="s">
        <v>209</v>
      </c>
      <c r="D117" s="260"/>
      <c r="E117" s="246"/>
      <c r="F117" s="246"/>
      <c r="G117" s="246"/>
      <c r="H117" s="246"/>
      <c r="I117" s="246"/>
      <c r="J117" s="246"/>
      <c r="K117" s="265" t="s">
        <v>378</v>
      </c>
      <c r="L117" s="265" t="s">
        <v>222</v>
      </c>
      <c r="M117" s="242" t="s">
        <v>3</v>
      </c>
      <c r="N117" s="298">
        <v>2554000</v>
      </c>
      <c r="O117" s="286">
        <v>2554000</v>
      </c>
      <c r="P117" s="261">
        <v>1E-4</v>
      </c>
      <c r="Q117" s="286"/>
      <c r="R117" s="286">
        <f>500</f>
        <v>500</v>
      </c>
      <c r="S117" s="248">
        <f t="shared" si="7"/>
        <v>2554000</v>
      </c>
      <c r="T117" s="331" t="s">
        <v>225</v>
      </c>
      <c r="U117" s="315"/>
    </row>
    <row r="118" spans="1:21" s="176" customFormat="1" ht="129.75" customHeight="1" outlineLevel="1" x14ac:dyDescent="0.2">
      <c r="A118" s="241">
        <v>75</v>
      </c>
      <c r="B118" s="289" t="s">
        <v>226</v>
      </c>
      <c r="C118" s="289" t="s">
        <v>209</v>
      </c>
      <c r="D118" s="260"/>
      <c r="E118" s="246"/>
      <c r="F118" s="246"/>
      <c r="G118" s="246"/>
      <c r="H118" s="246"/>
      <c r="I118" s="246"/>
      <c r="J118" s="246"/>
      <c r="K118" s="265" t="s">
        <v>378</v>
      </c>
      <c r="L118" s="265" t="s">
        <v>227</v>
      </c>
      <c r="M118" s="242" t="s">
        <v>3</v>
      </c>
      <c r="N118" s="298">
        <v>29053320</v>
      </c>
      <c r="O118" s="286">
        <v>29053320</v>
      </c>
      <c r="P118" s="261">
        <v>1E-4</v>
      </c>
      <c r="Q118" s="286"/>
      <c r="R118" s="286">
        <f>2000+3000</f>
        <v>5000</v>
      </c>
      <c r="S118" s="248">
        <f t="shared" si="7"/>
        <v>29053320</v>
      </c>
      <c r="T118" s="331" t="s">
        <v>228</v>
      </c>
      <c r="U118" s="315"/>
    </row>
    <row r="119" spans="1:21" s="176" customFormat="1" ht="129.75" customHeight="1" outlineLevel="1" x14ac:dyDescent="0.2">
      <c r="A119" s="241">
        <v>76</v>
      </c>
      <c r="B119" s="289" t="s">
        <v>229</v>
      </c>
      <c r="C119" s="289" t="s">
        <v>209</v>
      </c>
      <c r="D119" s="260"/>
      <c r="E119" s="246"/>
      <c r="F119" s="246"/>
      <c r="G119" s="246"/>
      <c r="H119" s="246"/>
      <c r="I119" s="246"/>
      <c r="J119" s="246"/>
      <c r="K119" s="265" t="s">
        <v>378</v>
      </c>
      <c r="L119" s="265" t="s">
        <v>230</v>
      </c>
      <c r="M119" s="242" t="s">
        <v>3</v>
      </c>
      <c r="N119" s="298">
        <v>192064443</v>
      </c>
      <c r="O119" s="286">
        <f>95000000+97064443</f>
        <v>192064443</v>
      </c>
      <c r="P119" s="261">
        <v>1E-4</v>
      </c>
      <c r="Q119" s="286">
        <f>65000000+20000000</f>
        <v>85000000</v>
      </c>
      <c r="R119" s="286">
        <f>16100+12200+23933</f>
        <v>52233</v>
      </c>
      <c r="S119" s="248">
        <f t="shared" si="7"/>
        <v>107064443</v>
      </c>
      <c r="T119" s="331" t="s">
        <v>231</v>
      </c>
      <c r="U119" s="315"/>
    </row>
    <row r="120" spans="1:21" s="176" customFormat="1" ht="129.75" customHeight="1" outlineLevel="1" x14ac:dyDescent="0.2">
      <c r="A120" s="241">
        <v>77</v>
      </c>
      <c r="B120" s="289" t="s">
        <v>233</v>
      </c>
      <c r="C120" s="289" t="s">
        <v>209</v>
      </c>
      <c r="D120" s="260"/>
      <c r="E120" s="246"/>
      <c r="F120" s="246"/>
      <c r="G120" s="246"/>
      <c r="H120" s="246"/>
      <c r="I120" s="246"/>
      <c r="J120" s="246"/>
      <c r="K120" s="265" t="s">
        <v>378</v>
      </c>
      <c r="L120" s="265" t="s">
        <v>232</v>
      </c>
      <c r="M120" s="242" t="s">
        <v>3</v>
      </c>
      <c r="N120" s="298">
        <v>3469534</v>
      </c>
      <c r="O120" s="286">
        <v>3469534</v>
      </c>
      <c r="P120" s="261">
        <v>1E-4</v>
      </c>
      <c r="Q120" s="286">
        <v>266887</v>
      </c>
      <c r="R120" s="286">
        <f>600+86</f>
        <v>686</v>
      </c>
      <c r="S120" s="248">
        <f t="shared" si="7"/>
        <v>3202647</v>
      </c>
      <c r="T120" s="331" t="s">
        <v>234</v>
      </c>
      <c r="U120" s="315"/>
    </row>
    <row r="121" spans="1:21" s="176" customFormat="1" ht="129.75" customHeight="1" outlineLevel="1" x14ac:dyDescent="0.2">
      <c r="A121" s="241">
        <v>78</v>
      </c>
      <c r="B121" s="289" t="s">
        <v>235</v>
      </c>
      <c r="C121" s="289" t="s">
        <v>209</v>
      </c>
      <c r="D121" s="260"/>
      <c r="E121" s="246"/>
      <c r="F121" s="246"/>
      <c r="G121" s="246"/>
      <c r="H121" s="246"/>
      <c r="I121" s="246"/>
      <c r="J121" s="246"/>
      <c r="K121" s="265" t="s">
        <v>378</v>
      </c>
      <c r="L121" s="265" t="s">
        <v>236</v>
      </c>
      <c r="M121" s="242" t="s">
        <v>3</v>
      </c>
      <c r="N121" s="298">
        <v>11781702</v>
      </c>
      <c r="O121" s="286">
        <v>11781702</v>
      </c>
      <c r="P121" s="261">
        <v>1E-4</v>
      </c>
      <c r="Q121" s="286">
        <f>906285+906285+906285+906285+906285</f>
        <v>4531425</v>
      </c>
      <c r="R121" s="286">
        <f>3000+1500+1500</f>
        <v>6000</v>
      </c>
      <c r="S121" s="248">
        <f t="shared" si="7"/>
        <v>7250277</v>
      </c>
      <c r="T121" s="331" t="s">
        <v>237</v>
      </c>
      <c r="U121" s="315"/>
    </row>
    <row r="122" spans="1:21" s="176" customFormat="1" ht="129.75" customHeight="1" outlineLevel="1" x14ac:dyDescent="0.2">
      <c r="A122" s="241">
        <v>79</v>
      </c>
      <c r="B122" s="289" t="s">
        <v>238</v>
      </c>
      <c r="C122" s="289" t="s">
        <v>209</v>
      </c>
      <c r="D122" s="260"/>
      <c r="E122" s="246"/>
      <c r="F122" s="246"/>
      <c r="G122" s="246"/>
      <c r="H122" s="246"/>
      <c r="I122" s="246"/>
      <c r="J122" s="246"/>
      <c r="K122" s="265" t="s">
        <v>378</v>
      </c>
      <c r="L122" s="265" t="s">
        <v>239</v>
      </c>
      <c r="M122" s="242" t="s">
        <v>3</v>
      </c>
      <c r="N122" s="298">
        <f>112000000+16200000</f>
        <v>128200000</v>
      </c>
      <c r="O122" s="286">
        <f>112000000+16200000</f>
        <v>128200000</v>
      </c>
      <c r="P122" s="261">
        <v>1E-4</v>
      </c>
      <c r="Q122" s="286">
        <f>3000000+3000000</f>
        <v>6000000</v>
      </c>
      <c r="R122" s="286">
        <f>25640+12820</f>
        <v>38460</v>
      </c>
      <c r="S122" s="248">
        <f t="shared" si="7"/>
        <v>122200000</v>
      </c>
      <c r="T122" s="331" t="s">
        <v>240</v>
      </c>
      <c r="U122" s="315"/>
    </row>
    <row r="123" spans="1:21" s="176" customFormat="1" ht="129.75" customHeight="1" outlineLevel="1" x14ac:dyDescent="0.2">
      <c r="A123" s="241">
        <v>80</v>
      </c>
      <c r="B123" s="289" t="s">
        <v>241</v>
      </c>
      <c r="C123" s="289" t="s">
        <v>209</v>
      </c>
      <c r="D123" s="260"/>
      <c r="E123" s="246"/>
      <c r="F123" s="246"/>
      <c r="G123" s="246"/>
      <c r="H123" s="246"/>
      <c r="I123" s="246"/>
      <c r="J123" s="246"/>
      <c r="K123" s="265" t="s">
        <v>378</v>
      </c>
      <c r="L123" s="265" t="s">
        <v>242</v>
      </c>
      <c r="M123" s="242" t="s">
        <v>3</v>
      </c>
      <c r="N123" s="298">
        <v>26127500</v>
      </c>
      <c r="O123" s="286">
        <v>26127500</v>
      </c>
      <c r="P123" s="261">
        <v>1E-4</v>
      </c>
      <c r="Q123" s="286"/>
      <c r="R123" s="286">
        <f>4530</f>
        <v>4530</v>
      </c>
      <c r="S123" s="248">
        <f t="shared" si="7"/>
        <v>26127500</v>
      </c>
      <c r="T123" s="331" t="s">
        <v>243</v>
      </c>
      <c r="U123" s="315"/>
    </row>
    <row r="124" spans="1:21" s="176" customFormat="1" ht="129.75" customHeight="1" outlineLevel="1" x14ac:dyDescent="0.2">
      <c r="A124" s="241">
        <v>81</v>
      </c>
      <c r="B124" s="289" t="s">
        <v>244</v>
      </c>
      <c r="C124" s="289" t="s">
        <v>209</v>
      </c>
      <c r="D124" s="260"/>
      <c r="E124" s="246"/>
      <c r="F124" s="246"/>
      <c r="G124" s="246"/>
      <c r="H124" s="246"/>
      <c r="I124" s="246"/>
      <c r="J124" s="246"/>
      <c r="K124" s="265" t="s">
        <v>378</v>
      </c>
      <c r="L124" s="265" t="s">
        <v>245</v>
      </c>
      <c r="M124" s="242" t="s">
        <v>3</v>
      </c>
      <c r="N124" s="298">
        <v>19297200</v>
      </c>
      <c r="O124" s="286">
        <f>10800000+3440000+1440000+3617200</f>
        <v>19297200</v>
      </c>
      <c r="P124" s="261">
        <v>1E-4</v>
      </c>
      <c r="Q124" s="286"/>
      <c r="R124" s="286">
        <f>3000</f>
        <v>3000</v>
      </c>
      <c r="S124" s="248">
        <f t="shared" si="7"/>
        <v>19297200</v>
      </c>
      <c r="T124" s="331" t="s">
        <v>246</v>
      </c>
      <c r="U124" s="315"/>
    </row>
    <row r="125" spans="1:21" s="176" customFormat="1" ht="129.75" customHeight="1" outlineLevel="1" x14ac:dyDescent="0.2">
      <c r="A125" s="241">
        <v>82</v>
      </c>
      <c r="B125" s="289" t="s">
        <v>247</v>
      </c>
      <c r="C125" s="289" t="s">
        <v>209</v>
      </c>
      <c r="D125" s="260"/>
      <c r="E125" s="246"/>
      <c r="F125" s="246"/>
      <c r="G125" s="246"/>
      <c r="H125" s="246"/>
      <c r="I125" s="246"/>
      <c r="J125" s="246"/>
      <c r="K125" s="265" t="s">
        <v>378</v>
      </c>
      <c r="L125" s="265" t="s">
        <v>232</v>
      </c>
      <c r="M125" s="242" t="s">
        <v>3</v>
      </c>
      <c r="N125" s="298">
        <v>2164000</v>
      </c>
      <c r="O125" s="286">
        <v>2164000</v>
      </c>
      <c r="P125" s="261">
        <v>1E-4</v>
      </c>
      <c r="Q125" s="286">
        <f>166462+166462+165000+167000+166500</f>
        <v>831424</v>
      </c>
      <c r="R125" s="286">
        <f>370+54.8+100+100</f>
        <v>624.79999999999995</v>
      </c>
      <c r="S125" s="248">
        <f>O125-R125</f>
        <v>2163375.2000000002</v>
      </c>
      <c r="T125" s="331" t="s">
        <v>248</v>
      </c>
      <c r="U125" s="315"/>
    </row>
    <row r="126" spans="1:21" s="176" customFormat="1" ht="129.75" customHeight="1" outlineLevel="1" x14ac:dyDescent="0.2">
      <c r="A126" s="241">
        <v>83</v>
      </c>
      <c r="B126" s="289" t="s">
        <v>249</v>
      </c>
      <c r="C126" s="289" t="s">
        <v>209</v>
      </c>
      <c r="D126" s="289"/>
      <c r="E126" s="289"/>
      <c r="F126" s="289"/>
      <c r="G126" s="289"/>
      <c r="H126" s="289"/>
      <c r="I126" s="289"/>
      <c r="J126" s="289"/>
      <c r="K126" s="265" t="s">
        <v>378</v>
      </c>
      <c r="L126" s="265" t="s">
        <v>250</v>
      </c>
      <c r="M126" s="242" t="s">
        <v>3</v>
      </c>
      <c r="N126" s="298">
        <v>253504102</v>
      </c>
      <c r="O126" s="286">
        <v>253504102</v>
      </c>
      <c r="P126" s="261">
        <v>1E-4</v>
      </c>
      <c r="Q126" s="286">
        <f>19500316+19500316+19500315+19500315</f>
        <v>78001262</v>
      </c>
      <c r="R126" s="286">
        <f>5973+6390+6181+6389+6181.4+6390+6390+6390+6389+5407+7015</f>
        <v>69095.399999999994</v>
      </c>
      <c r="S126" s="248">
        <f t="shared" ref="S126:S132" si="8">O126-Q126</f>
        <v>175502840</v>
      </c>
      <c r="T126" s="331" t="s">
        <v>251</v>
      </c>
      <c r="U126" s="315"/>
    </row>
    <row r="127" spans="1:21" s="176" customFormat="1" ht="129.75" customHeight="1" outlineLevel="1" x14ac:dyDescent="0.2">
      <c r="A127" s="241">
        <v>84</v>
      </c>
      <c r="B127" s="289" t="s">
        <v>252</v>
      </c>
      <c r="C127" s="289" t="s">
        <v>209</v>
      </c>
      <c r="D127" s="260"/>
      <c r="E127" s="246"/>
      <c r="F127" s="246"/>
      <c r="G127" s="246"/>
      <c r="H127" s="246"/>
      <c r="I127" s="246"/>
      <c r="J127" s="246"/>
      <c r="K127" s="265" t="s">
        <v>378</v>
      </c>
      <c r="L127" s="265" t="s">
        <v>250</v>
      </c>
      <c r="M127" s="242" t="s">
        <v>3</v>
      </c>
      <c r="N127" s="298">
        <v>76200000</v>
      </c>
      <c r="O127" s="286">
        <v>76200000</v>
      </c>
      <c r="P127" s="261">
        <v>1E-4</v>
      </c>
      <c r="Q127" s="286"/>
      <c r="R127" s="286">
        <v>7620</v>
      </c>
      <c r="S127" s="248">
        <f t="shared" si="8"/>
        <v>76200000</v>
      </c>
      <c r="T127" s="331" t="s">
        <v>253</v>
      </c>
      <c r="U127" s="315"/>
    </row>
    <row r="128" spans="1:21" s="176" customFormat="1" ht="121.5" outlineLevel="1" x14ac:dyDescent="0.2">
      <c r="A128" s="241">
        <v>85</v>
      </c>
      <c r="B128" s="289" t="s">
        <v>254</v>
      </c>
      <c r="C128" s="289" t="s">
        <v>209</v>
      </c>
      <c r="D128" s="260"/>
      <c r="E128" s="246"/>
      <c r="F128" s="246"/>
      <c r="G128" s="246"/>
      <c r="H128" s="246"/>
      <c r="I128" s="246"/>
      <c r="J128" s="246"/>
      <c r="K128" s="265" t="s">
        <v>378</v>
      </c>
      <c r="L128" s="265" t="s">
        <v>255</v>
      </c>
      <c r="M128" s="242" t="s">
        <v>3</v>
      </c>
      <c r="N128" s="298">
        <v>50613970</v>
      </c>
      <c r="O128" s="286">
        <v>50613970</v>
      </c>
      <c r="P128" s="261">
        <v>1E-4</v>
      </c>
      <c r="Q128" s="286"/>
      <c r="R128" s="286">
        <f>8800+8800</f>
        <v>17600</v>
      </c>
      <c r="S128" s="248">
        <f t="shared" si="8"/>
        <v>50613970</v>
      </c>
      <c r="T128" s="331" t="s">
        <v>256</v>
      </c>
      <c r="U128" s="315"/>
    </row>
    <row r="129" spans="1:21" s="176" customFormat="1" ht="121.5" outlineLevel="1" x14ac:dyDescent="0.2">
      <c r="A129" s="241">
        <v>86</v>
      </c>
      <c r="B129" s="289" t="s">
        <v>257</v>
      </c>
      <c r="C129" s="289" t="s">
        <v>209</v>
      </c>
      <c r="D129" s="260"/>
      <c r="E129" s="246"/>
      <c r="F129" s="246"/>
      <c r="G129" s="246"/>
      <c r="H129" s="246"/>
      <c r="I129" s="246"/>
      <c r="J129" s="246"/>
      <c r="K129" s="265" t="s">
        <v>378</v>
      </c>
      <c r="L129" s="265" t="s">
        <v>258</v>
      </c>
      <c r="M129" s="242" t="s">
        <v>3</v>
      </c>
      <c r="N129" s="298">
        <v>184740000</v>
      </c>
      <c r="O129" s="286">
        <v>184740000</v>
      </c>
      <c r="P129" s="261">
        <v>1E-4</v>
      </c>
      <c r="Q129" s="286"/>
      <c r="R129" s="286">
        <f>31700</f>
        <v>31700</v>
      </c>
      <c r="S129" s="248">
        <f t="shared" si="8"/>
        <v>184740000</v>
      </c>
      <c r="T129" s="331" t="s">
        <v>259</v>
      </c>
      <c r="U129" s="315"/>
    </row>
    <row r="130" spans="1:21" s="176" customFormat="1" ht="121.5" outlineLevel="1" x14ac:dyDescent="0.2">
      <c r="A130" s="241">
        <v>87</v>
      </c>
      <c r="B130" s="289" t="s">
        <v>260</v>
      </c>
      <c r="C130" s="289" t="s">
        <v>209</v>
      </c>
      <c r="D130" s="260"/>
      <c r="E130" s="246"/>
      <c r="F130" s="246"/>
      <c r="G130" s="246"/>
      <c r="H130" s="246"/>
      <c r="I130" s="246"/>
      <c r="J130" s="246"/>
      <c r="K130" s="265" t="s">
        <v>378</v>
      </c>
      <c r="L130" s="265" t="s">
        <v>261</v>
      </c>
      <c r="M130" s="242" t="s">
        <v>3</v>
      </c>
      <c r="N130" s="298">
        <v>219559596</v>
      </c>
      <c r="O130" s="286">
        <v>219559596</v>
      </c>
      <c r="P130" s="261">
        <v>1E-4</v>
      </c>
      <c r="Q130" s="286">
        <f>16889200+16889200+185781196</f>
        <v>219559596</v>
      </c>
      <c r="R130" s="286">
        <f>5294+5294+27550+5533+1000</f>
        <v>44671</v>
      </c>
      <c r="S130" s="248">
        <f t="shared" si="8"/>
        <v>0</v>
      </c>
      <c r="T130" s="331" t="s">
        <v>470</v>
      </c>
      <c r="U130" s="315"/>
    </row>
    <row r="131" spans="1:21" s="176" customFormat="1" ht="121.5" outlineLevel="1" x14ac:dyDescent="0.2">
      <c r="A131" s="241">
        <v>88</v>
      </c>
      <c r="B131" s="289" t="s">
        <v>262</v>
      </c>
      <c r="C131" s="289" t="s">
        <v>209</v>
      </c>
      <c r="D131" s="260"/>
      <c r="E131" s="246"/>
      <c r="F131" s="246"/>
      <c r="G131" s="246"/>
      <c r="H131" s="246"/>
      <c r="I131" s="246"/>
      <c r="J131" s="246"/>
      <c r="K131" s="265" t="s">
        <v>378</v>
      </c>
      <c r="L131" s="265" t="s">
        <v>258</v>
      </c>
      <c r="M131" s="242" t="s">
        <v>3</v>
      </c>
      <c r="N131" s="298">
        <v>29081500</v>
      </c>
      <c r="O131" s="286">
        <v>29081500</v>
      </c>
      <c r="P131" s="261">
        <v>1E-4</v>
      </c>
      <c r="Q131" s="286"/>
      <c r="R131" s="286">
        <f>1000+4000+3000</f>
        <v>8000</v>
      </c>
      <c r="S131" s="248">
        <f t="shared" si="8"/>
        <v>29081500</v>
      </c>
      <c r="T131" s="331" t="s">
        <v>263</v>
      </c>
      <c r="U131" s="315"/>
    </row>
    <row r="132" spans="1:21" s="176" customFormat="1" ht="123" customHeight="1" outlineLevel="1" thickBot="1" x14ac:dyDescent="0.25">
      <c r="A132" s="303">
        <v>89</v>
      </c>
      <c r="B132" s="335" t="s">
        <v>264</v>
      </c>
      <c r="C132" s="335" t="s">
        <v>209</v>
      </c>
      <c r="D132" s="336"/>
      <c r="E132" s="337"/>
      <c r="F132" s="337"/>
      <c r="G132" s="337"/>
      <c r="H132" s="337"/>
      <c r="I132" s="337"/>
      <c r="J132" s="337"/>
      <c r="K132" s="306" t="s">
        <v>378</v>
      </c>
      <c r="L132" s="306" t="s">
        <v>265</v>
      </c>
      <c r="M132" s="336" t="s">
        <v>3</v>
      </c>
      <c r="N132" s="338">
        <v>12060940</v>
      </c>
      <c r="O132" s="338">
        <v>12060940</v>
      </c>
      <c r="P132" s="339">
        <v>1E-4</v>
      </c>
      <c r="Q132" s="338"/>
      <c r="R132" s="338">
        <v>2170</v>
      </c>
      <c r="S132" s="311">
        <f t="shared" si="8"/>
        <v>12060940</v>
      </c>
      <c r="T132" s="331" t="s">
        <v>266</v>
      </c>
      <c r="U132" s="315"/>
    </row>
    <row r="133" spans="1:21" s="175" customFormat="1" ht="30" customHeight="1" x14ac:dyDescent="0.25">
      <c r="A133" s="509" t="s">
        <v>469</v>
      </c>
      <c r="B133" s="510"/>
      <c r="C133" s="510"/>
      <c r="D133" s="511" t="s">
        <v>35</v>
      </c>
      <c r="E133" s="512"/>
      <c r="F133" s="512"/>
      <c r="G133" s="512"/>
      <c r="H133" s="512"/>
      <c r="I133" s="512"/>
      <c r="J133" s="512"/>
      <c r="K133" s="512"/>
      <c r="L133" s="513"/>
      <c r="M133" s="200"/>
      <c r="N133" s="277">
        <f>SUMIF($M$112:$M$132,D133,$N$112:$N$132)</f>
        <v>0</v>
      </c>
      <c r="O133" s="201">
        <f>SUMIF($M$102:$M$132,D133,$O$102:$O$132)</f>
        <v>0</v>
      </c>
      <c r="P133" s="201"/>
      <c r="Q133" s="201">
        <f>SUMIF($M$112:$M$132,D133,$Q$112:$Q$132)</f>
        <v>0</v>
      </c>
      <c r="R133" s="201">
        <f>SUMIF($M$102:$M$132,D133,$R$102:$R$132)</f>
        <v>0</v>
      </c>
      <c r="S133" s="201">
        <f>SUMIF($M$102:$M$132,D133,$S$102:$S$132)</f>
        <v>0</v>
      </c>
      <c r="T133" s="326"/>
      <c r="U133" s="178"/>
    </row>
    <row r="134" spans="1:21" s="175" customFormat="1" ht="27" customHeight="1" x14ac:dyDescent="0.25">
      <c r="A134" s="494"/>
      <c r="B134" s="495"/>
      <c r="C134" s="495"/>
      <c r="D134" s="514" t="s">
        <v>3</v>
      </c>
      <c r="E134" s="515"/>
      <c r="F134" s="515"/>
      <c r="G134" s="515"/>
      <c r="H134" s="515"/>
      <c r="I134" s="515"/>
      <c r="J134" s="515"/>
      <c r="K134" s="515"/>
      <c r="L134" s="516"/>
      <c r="M134" s="195"/>
      <c r="N134" s="196">
        <f>SUMIF($M$112:$M$132,D134,$N$112:$N$132)</f>
        <v>2011462986</v>
      </c>
      <c r="O134" s="196">
        <f>SUMIF($M$112:$M$132,D134,$O$112:$O$132)</f>
        <v>2011462986</v>
      </c>
      <c r="P134" s="196"/>
      <c r="Q134" s="196">
        <f>SUMIF($M$112:$M$132,D134,$Q$112:$Q$132)</f>
        <v>549893484.20000005</v>
      </c>
      <c r="R134" s="196">
        <f>SUMIF($M$112:$M$132,D134,$R$112:$R$132)</f>
        <v>472203.1</v>
      </c>
      <c r="S134" s="196">
        <f>SUMIF($M$112:$M$132,D134,$S$112:$S$132)</f>
        <v>1462400301</v>
      </c>
      <c r="T134" s="327"/>
      <c r="U134" s="178"/>
    </row>
    <row r="135" spans="1:21" s="175" customFormat="1" ht="28.5" customHeight="1" x14ac:dyDescent="0.25">
      <c r="A135" s="494"/>
      <c r="B135" s="495"/>
      <c r="C135" s="495"/>
      <c r="D135" s="514" t="s">
        <v>57</v>
      </c>
      <c r="E135" s="515"/>
      <c r="F135" s="515"/>
      <c r="G135" s="515"/>
      <c r="H135" s="515"/>
      <c r="I135" s="515"/>
      <c r="J135" s="515"/>
      <c r="K135" s="515"/>
      <c r="L135" s="516"/>
      <c r="M135" s="195"/>
      <c r="N135" s="196">
        <f>SUMIF($M$112:$M$132,D135,$N$112:$N$132)</f>
        <v>0</v>
      </c>
      <c r="O135" s="196">
        <f>SUMIF($M$102:$M$132,D135,$O$102:$O$132)</f>
        <v>0</v>
      </c>
      <c r="P135" s="196"/>
      <c r="Q135" s="196">
        <f>SUMIF($M$102:$M$132,D135,$Q$102:$Q$132)</f>
        <v>0</v>
      </c>
      <c r="R135" s="196">
        <f>SUMIF($M$102:$M$132,D135,$R$102:$R$132)</f>
        <v>0</v>
      </c>
      <c r="S135" s="196">
        <f>SUMIF($M$102:$M$132,D135,$S$102:$S$132)</f>
        <v>0</v>
      </c>
      <c r="T135" s="327"/>
      <c r="U135" s="178"/>
    </row>
    <row r="136" spans="1:21" s="175" customFormat="1" ht="30" customHeight="1" thickBot="1" x14ac:dyDescent="0.3">
      <c r="A136" s="519"/>
      <c r="B136" s="520"/>
      <c r="C136" s="520"/>
      <c r="D136" s="499" t="s">
        <v>77</v>
      </c>
      <c r="E136" s="500"/>
      <c r="F136" s="500"/>
      <c r="G136" s="500"/>
      <c r="H136" s="500"/>
      <c r="I136" s="500"/>
      <c r="J136" s="500"/>
      <c r="K136" s="500"/>
      <c r="L136" s="501"/>
      <c r="M136" s="197"/>
      <c r="N136" s="198">
        <f>SUMIF($M$112:$M$132,D136,$N$112:$N$132)</f>
        <v>0</v>
      </c>
      <c r="O136" s="198">
        <f>SUMIF($M$102:$M$132,D136,$O$102:$O$132)</f>
        <v>0</v>
      </c>
      <c r="P136" s="198"/>
      <c r="Q136" s="198">
        <f>SUMIF($M$102:$M$132,D136,$Q$102:$Q$132)</f>
        <v>0</v>
      </c>
      <c r="R136" s="198">
        <f>SUMIF($M$102:$M$132,D136,$R$102:$R$132)</f>
        <v>0</v>
      </c>
      <c r="S136" s="198">
        <f>SUMIF($M$102:$M$132,D136,$S$102:$S$132)</f>
        <v>0</v>
      </c>
      <c r="T136" s="329"/>
      <c r="U136" s="178"/>
    </row>
    <row r="137" spans="1:21" s="175" customFormat="1" ht="15.75" customHeight="1" x14ac:dyDescent="0.25">
      <c r="A137" s="492" t="s">
        <v>267</v>
      </c>
      <c r="B137" s="493"/>
      <c r="C137" s="524"/>
      <c r="D137" s="513" t="s">
        <v>35</v>
      </c>
      <c r="E137" s="527"/>
      <c r="F137" s="527"/>
      <c r="G137" s="527"/>
      <c r="H137" s="527"/>
      <c r="I137" s="527"/>
      <c r="J137" s="527"/>
      <c r="K137" s="527"/>
      <c r="L137" s="527"/>
      <c r="M137" s="203"/>
      <c r="N137" s="201">
        <f t="shared" ref="N137:S140" si="9">N47+N58+N69+N98+N108+N133</f>
        <v>340755742.28000003</v>
      </c>
      <c r="O137" s="201">
        <f t="shared" si="9"/>
        <v>141386283.71000001</v>
      </c>
      <c r="P137" s="201">
        <f t="shared" si="9"/>
        <v>0</v>
      </c>
      <c r="Q137" s="201">
        <f t="shared" si="9"/>
        <v>46922206.239586227</v>
      </c>
      <c r="R137" s="201">
        <f t="shared" si="9"/>
        <v>17824001.940888666</v>
      </c>
      <c r="S137" s="201">
        <f t="shared" si="9"/>
        <v>94464077.470413759</v>
      </c>
      <c r="T137" s="333"/>
      <c r="U137" s="178"/>
    </row>
    <row r="138" spans="1:21" s="175" customFormat="1" ht="17.25" customHeight="1" x14ac:dyDescent="0.25">
      <c r="A138" s="494"/>
      <c r="B138" s="495"/>
      <c r="C138" s="525"/>
      <c r="D138" s="516" t="s">
        <v>3</v>
      </c>
      <c r="E138" s="497"/>
      <c r="F138" s="497"/>
      <c r="G138" s="497"/>
      <c r="H138" s="497"/>
      <c r="I138" s="497"/>
      <c r="J138" s="497"/>
      <c r="K138" s="497"/>
      <c r="L138" s="497"/>
      <c r="M138" s="203"/>
      <c r="N138" s="201">
        <f t="shared" si="9"/>
        <v>174882887740.10001</v>
      </c>
      <c r="O138" s="201">
        <f t="shared" si="9"/>
        <v>193521451298.01001</v>
      </c>
      <c r="P138" s="201">
        <f t="shared" si="9"/>
        <v>0</v>
      </c>
      <c r="Q138" s="201">
        <f t="shared" si="9"/>
        <v>94801976781.24472</v>
      </c>
      <c r="R138" s="201">
        <f t="shared" si="9"/>
        <v>45575056018.082977</v>
      </c>
      <c r="S138" s="201">
        <f t="shared" si="9"/>
        <v>98720305315.965286</v>
      </c>
      <c r="T138" s="327"/>
      <c r="U138" s="178"/>
    </row>
    <row r="139" spans="1:21" s="175" customFormat="1" ht="15" customHeight="1" x14ac:dyDescent="0.25">
      <c r="A139" s="494"/>
      <c r="B139" s="495"/>
      <c r="C139" s="525"/>
      <c r="D139" s="516" t="s">
        <v>57</v>
      </c>
      <c r="E139" s="497"/>
      <c r="F139" s="497"/>
      <c r="G139" s="497"/>
      <c r="H139" s="497"/>
      <c r="I139" s="497"/>
      <c r="J139" s="497"/>
      <c r="K139" s="497"/>
      <c r="L139" s="497"/>
      <c r="M139" s="195"/>
      <c r="N139" s="201">
        <f t="shared" si="9"/>
        <v>481140620.32000005</v>
      </c>
      <c r="O139" s="201">
        <f t="shared" si="9"/>
        <v>356940040.69</v>
      </c>
      <c r="P139" s="201">
        <f t="shared" si="9"/>
        <v>0</v>
      </c>
      <c r="Q139" s="201">
        <f t="shared" si="9"/>
        <v>104761287.32077844</v>
      </c>
      <c r="R139" s="201">
        <f t="shared" si="9"/>
        <v>56889628.295754462</v>
      </c>
      <c r="S139" s="201">
        <f t="shared" si="9"/>
        <v>252683506.68299556</v>
      </c>
      <c r="T139" s="327"/>
      <c r="U139" s="178"/>
    </row>
    <row r="140" spans="1:21" s="175" customFormat="1" ht="25.5" customHeight="1" x14ac:dyDescent="0.25">
      <c r="A140" s="519"/>
      <c r="B140" s="520"/>
      <c r="C140" s="526"/>
      <c r="D140" s="528" t="s">
        <v>77</v>
      </c>
      <c r="E140" s="498"/>
      <c r="F140" s="498"/>
      <c r="G140" s="498"/>
      <c r="H140" s="498"/>
      <c r="I140" s="498"/>
      <c r="J140" s="498"/>
      <c r="K140" s="498"/>
      <c r="L140" s="498"/>
      <c r="M140" s="204"/>
      <c r="N140" s="201">
        <f t="shared" si="9"/>
        <v>31777311969</v>
      </c>
      <c r="O140" s="201">
        <f t="shared" si="9"/>
        <v>31859249643</v>
      </c>
      <c r="P140" s="201">
        <f t="shared" si="9"/>
        <v>0</v>
      </c>
      <c r="Q140" s="201">
        <f t="shared" si="9"/>
        <v>11175728507.734196</v>
      </c>
      <c r="R140" s="201">
        <f t="shared" si="9"/>
        <v>3416822989.2722602</v>
      </c>
      <c r="S140" s="201">
        <f t="shared" si="9"/>
        <v>20683521135.265808</v>
      </c>
      <c r="T140" s="328"/>
      <c r="U140" s="178"/>
    </row>
    <row r="141" spans="1:21" s="175" customFormat="1" ht="15" customHeight="1" thickBot="1" x14ac:dyDescent="0.3">
      <c r="A141" s="519"/>
      <c r="B141" s="520"/>
      <c r="C141" s="526"/>
      <c r="D141" s="518" t="s">
        <v>67</v>
      </c>
      <c r="E141" s="515"/>
      <c r="F141" s="515"/>
      <c r="G141" s="515"/>
      <c r="H141" s="515"/>
      <c r="I141" s="515"/>
      <c r="J141" s="515"/>
      <c r="K141" s="515"/>
      <c r="L141" s="516"/>
      <c r="M141" s="204"/>
      <c r="N141" s="201">
        <f>N51</f>
        <v>24086688</v>
      </c>
      <c r="O141" s="201">
        <f t="shared" ref="O141:S141" si="10">O51</f>
        <v>18384172.012149811</v>
      </c>
      <c r="P141" s="201">
        <f t="shared" si="10"/>
        <v>0</v>
      </c>
      <c r="Q141" s="201">
        <f t="shared" si="10"/>
        <v>3421726.801663748</v>
      </c>
      <c r="R141" s="201">
        <f t="shared" si="10"/>
        <v>2452783.2591014383</v>
      </c>
      <c r="S141" s="201">
        <f t="shared" si="10"/>
        <v>14962445.210486062</v>
      </c>
      <c r="T141" s="328"/>
      <c r="U141" s="178"/>
    </row>
    <row r="142" spans="1:21" ht="51" customHeight="1" thickBot="1" x14ac:dyDescent="0.3">
      <c r="A142" s="316">
        <v>94</v>
      </c>
      <c r="B142" s="317" t="s">
        <v>268</v>
      </c>
      <c r="C142" s="318" t="s">
        <v>269</v>
      </c>
      <c r="D142" s="318" t="s">
        <v>119</v>
      </c>
      <c r="E142" s="318"/>
      <c r="F142" s="318"/>
      <c r="G142" s="318"/>
      <c r="H142" s="318"/>
      <c r="I142" s="318"/>
      <c r="J142" s="318"/>
      <c r="K142" s="318" t="s">
        <v>379</v>
      </c>
      <c r="L142" s="318" t="s">
        <v>270</v>
      </c>
      <c r="M142" s="318" t="s">
        <v>3</v>
      </c>
      <c r="N142" s="319">
        <f>834800635300+144000000000+32000000000+132000000000+3500000000+14000000000+2900000000+4000000000</f>
        <v>1167200635300</v>
      </c>
      <c r="O142" s="320">
        <f>834798635300+12095027500+14732486250+11774486250+13492000000+25492000000+15482000000+12375860000+12000000000+13000000000+12000000000+15700000000+17856140000+15664000000+17000000000+14500000000+15500000000+26000000000+14900000000+11999274664+16000725336</f>
        <v>1142362635300</v>
      </c>
      <c r="P142" s="321">
        <v>1.0000000000000001E-5</v>
      </c>
      <c r="Q142" s="320"/>
      <c r="R142" s="320"/>
      <c r="S142" s="322">
        <f>O142-Q142</f>
        <v>1142362635300</v>
      </c>
      <c r="T142" s="334" t="s">
        <v>82</v>
      </c>
    </row>
    <row r="143" spans="1:21" s="175" customFormat="1" ht="15" customHeight="1" x14ac:dyDescent="0.25">
      <c r="A143" s="205"/>
      <c r="B143" s="205"/>
      <c r="C143" s="205"/>
      <c r="D143" s="206"/>
      <c r="E143" s="206"/>
      <c r="F143" s="206"/>
      <c r="G143" s="206"/>
      <c r="H143" s="206"/>
      <c r="I143" s="206"/>
      <c r="J143" s="206"/>
      <c r="K143" s="206"/>
      <c r="L143" s="206"/>
      <c r="M143" s="207"/>
      <c r="N143" s="208"/>
      <c r="O143" s="208"/>
      <c r="P143" s="208"/>
      <c r="Q143" s="208"/>
      <c r="R143" s="208"/>
      <c r="S143" s="208"/>
      <c r="T143" s="208"/>
      <c r="U143" s="178"/>
    </row>
    <row r="144" spans="1:21" ht="17.25" x14ac:dyDescent="0.3">
      <c r="A144" s="170"/>
      <c r="B144" s="179" t="s">
        <v>3</v>
      </c>
      <c r="C144" s="180"/>
      <c r="D144" s="170"/>
      <c r="E144" s="170"/>
      <c r="F144" s="170"/>
      <c r="G144" s="170"/>
      <c r="H144" s="170"/>
      <c r="I144" s="170"/>
      <c r="J144" s="170"/>
      <c r="K144" s="209"/>
      <c r="L144" s="170"/>
      <c r="M144" s="210"/>
      <c r="N144" s="211"/>
      <c r="O144" s="211"/>
      <c r="P144" s="212"/>
      <c r="Q144" s="170"/>
      <c r="R144" s="170"/>
      <c r="S144" s="213"/>
      <c r="T144" s="215"/>
    </row>
    <row r="145" spans="1:21" ht="17.25" x14ac:dyDescent="0.3">
      <c r="A145" s="170"/>
      <c r="B145" s="179" t="s">
        <v>57</v>
      </c>
      <c r="C145" s="180">
        <v>385.98</v>
      </c>
      <c r="D145" s="170"/>
      <c r="E145" s="170"/>
      <c r="F145" s="170"/>
      <c r="G145" s="170"/>
      <c r="H145" s="170"/>
      <c r="I145" s="170"/>
      <c r="J145" s="170"/>
      <c r="K145" s="209"/>
      <c r="L145" s="170"/>
      <c r="M145" s="170"/>
      <c r="N145" s="211"/>
      <c r="O145" s="214"/>
      <c r="P145" s="216"/>
      <c r="Q145" s="170"/>
      <c r="R145" s="211"/>
      <c r="S145" s="217"/>
      <c r="T145" s="218"/>
    </row>
    <row r="146" spans="1:21" ht="17.25" x14ac:dyDescent="0.3">
      <c r="A146" s="170"/>
      <c r="B146" s="179" t="s">
        <v>77</v>
      </c>
      <c r="C146" s="185">
        <v>2.6379999999999999</v>
      </c>
      <c r="D146" s="170"/>
      <c r="E146" s="170"/>
      <c r="F146" s="170"/>
      <c r="G146" s="170"/>
      <c r="H146" s="170"/>
      <c r="I146" s="170"/>
      <c r="J146" s="170"/>
      <c r="K146" s="209"/>
      <c r="L146" s="170"/>
      <c r="M146" s="170"/>
      <c r="N146" s="170"/>
      <c r="O146" s="211"/>
      <c r="P146" s="212"/>
      <c r="Q146" s="170"/>
      <c r="R146" s="211"/>
      <c r="S146" s="219"/>
      <c r="T146" s="220"/>
    </row>
    <row r="147" spans="1:21" ht="17.25" x14ac:dyDescent="0.3">
      <c r="A147" s="170"/>
      <c r="B147" s="179" t="s">
        <v>35</v>
      </c>
      <c r="C147" s="180">
        <v>420.37</v>
      </c>
      <c r="D147" s="170"/>
      <c r="E147" s="170"/>
      <c r="F147" s="170"/>
      <c r="G147" s="170"/>
      <c r="H147" s="170"/>
      <c r="I147" s="170"/>
      <c r="J147" s="170"/>
      <c r="K147" s="209"/>
      <c r="L147" s="170"/>
      <c r="M147" s="170"/>
      <c r="N147" s="170"/>
      <c r="O147" s="214"/>
      <c r="P147" s="212"/>
      <c r="Q147" s="170"/>
      <c r="R147" s="211"/>
      <c r="S147" s="214"/>
      <c r="T147" s="220"/>
    </row>
    <row r="148" spans="1:21" ht="17.25" x14ac:dyDescent="0.3">
      <c r="A148" s="170"/>
      <c r="B148" s="179" t="s">
        <v>67</v>
      </c>
      <c r="C148" s="180">
        <v>511.8</v>
      </c>
      <c r="D148" s="170"/>
      <c r="E148" s="170"/>
      <c r="F148" s="170"/>
      <c r="G148" s="170"/>
      <c r="H148" s="170"/>
      <c r="I148" s="170"/>
      <c r="J148" s="170"/>
      <c r="K148" s="209"/>
      <c r="L148" s="170"/>
      <c r="M148" s="170"/>
      <c r="N148" s="170"/>
      <c r="O148" s="170"/>
      <c r="P148" s="212"/>
      <c r="Q148" s="170"/>
      <c r="R148" s="215"/>
      <c r="S148" s="211"/>
      <c r="T148" s="169"/>
    </row>
    <row r="149" spans="1:21" x14ac:dyDescent="0.25">
      <c r="A149" s="170"/>
      <c r="B149" s="186"/>
      <c r="C149" s="170"/>
      <c r="D149" s="170"/>
      <c r="E149" s="170"/>
      <c r="F149" s="170"/>
      <c r="G149" s="170"/>
      <c r="H149" s="170"/>
      <c r="I149" s="170"/>
      <c r="J149" s="170"/>
      <c r="K149" s="209"/>
      <c r="L149" s="170"/>
      <c r="M149" s="170"/>
      <c r="N149" s="170"/>
      <c r="O149" s="170"/>
      <c r="P149" s="212"/>
      <c r="Q149" s="170"/>
      <c r="R149" s="170"/>
      <c r="S149" s="170"/>
      <c r="T149" s="169"/>
    </row>
    <row r="150" spans="1:21" x14ac:dyDescent="0.25">
      <c r="A150" s="170"/>
      <c r="B150" s="186"/>
      <c r="C150" s="170"/>
      <c r="D150" s="170"/>
      <c r="E150" s="170"/>
      <c r="F150" s="170"/>
      <c r="G150" s="170"/>
      <c r="H150" s="170"/>
      <c r="I150" s="170"/>
      <c r="J150" s="170"/>
      <c r="K150" s="209"/>
      <c r="L150" s="170"/>
      <c r="M150" s="170"/>
      <c r="N150" s="170"/>
      <c r="O150" s="170"/>
      <c r="P150" s="212"/>
      <c r="Q150" s="170"/>
      <c r="R150" s="170"/>
      <c r="S150" s="219"/>
      <c r="T150" s="170"/>
    </row>
    <row r="151" spans="1:21" x14ac:dyDescent="0.25">
      <c r="A151" s="170"/>
      <c r="B151" s="186"/>
      <c r="C151" s="170"/>
      <c r="D151" s="170"/>
      <c r="E151" s="170"/>
      <c r="F151" s="170"/>
      <c r="G151" s="170"/>
      <c r="H151" s="170"/>
      <c r="I151" s="170"/>
      <c r="J151" s="170"/>
      <c r="K151" s="209"/>
      <c r="L151" s="170"/>
      <c r="M151" s="170"/>
      <c r="N151" s="170"/>
      <c r="O151" s="219"/>
      <c r="P151" s="212"/>
      <c r="Q151" s="170"/>
      <c r="R151" s="211"/>
      <c r="S151" s="219"/>
      <c r="T151" s="170"/>
    </row>
    <row r="152" spans="1:21" x14ac:dyDescent="0.25">
      <c r="A152" s="170"/>
      <c r="B152" s="186"/>
      <c r="C152" s="170"/>
      <c r="D152" s="170"/>
      <c r="E152" s="170"/>
      <c r="F152" s="170"/>
      <c r="G152" s="170"/>
      <c r="H152" s="170"/>
      <c r="I152" s="170"/>
      <c r="J152" s="170"/>
      <c r="K152" s="209"/>
      <c r="L152" s="170"/>
      <c r="M152" s="170"/>
      <c r="N152" s="170"/>
      <c r="O152" s="170"/>
      <c r="P152" s="212"/>
      <c r="Q152" s="170"/>
      <c r="R152" s="170"/>
      <c r="S152" s="170"/>
      <c r="T152" s="170"/>
    </row>
    <row r="153" spans="1:21" x14ac:dyDescent="0.25">
      <c r="A153" s="170"/>
      <c r="B153" s="186"/>
      <c r="C153" s="170"/>
      <c r="D153" s="170"/>
      <c r="E153" s="170"/>
      <c r="F153" s="170"/>
      <c r="G153" s="170"/>
      <c r="H153" s="170"/>
      <c r="I153" s="170"/>
      <c r="J153" s="170"/>
      <c r="K153" s="209"/>
      <c r="L153" s="170"/>
      <c r="M153" s="170"/>
      <c r="N153" s="170"/>
      <c r="O153" s="170"/>
      <c r="P153" s="212"/>
      <c r="Q153" s="170"/>
      <c r="R153" s="170"/>
      <c r="S153" s="170"/>
      <c r="T153" s="170"/>
    </row>
    <row r="154" spans="1:21" x14ac:dyDescent="0.25">
      <c r="A154" s="170"/>
      <c r="B154" s="186"/>
      <c r="C154" s="170"/>
      <c r="D154" s="170"/>
      <c r="E154" s="170"/>
      <c r="F154" s="170"/>
      <c r="G154" s="170"/>
      <c r="H154" s="170"/>
      <c r="I154" s="170"/>
      <c r="J154" s="170"/>
      <c r="K154" s="209"/>
      <c r="L154" s="170"/>
      <c r="M154" s="170"/>
      <c r="N154" s="170"/>
      <c r="O154" s="170"/>
      <c r="P154" s="212"/>
      <c r="Q154" s="170"/>
      <c r="R154" s="170"/>
      <c r="S154" s="170"/>
      <c r="T154" s="170"/>
    </row>
    <row r="155" spans="1:21" x14ac:dyDescent="0.25">
      <c r="A155" s="170"/>
      <c r="B155" s="186"/>
      <c r="C155" s="170"/>
      <c r="D155" s="170"/>
      <c r="E155" s="170"/>
      <c r="F155" s="170"/>
      <c r="G155" s="170"/>
      <c r="H155" s="170"/>
      <c r="I155" s="170"/>
      <c r="J155" s="170"/>
      <c r="K155" s="209"/>
      <c r="L155" s="170"/>
      <c r="M155" s="170"/>
      <c r="N155" s="170"/>
      <c r="O155" s="170"/>
      <c r="P155" s="212"/>
      <c r="Q155" s="170"/>
      <c r="R155" s="170"/>
      <c r="S155" s="170"/>
      <c r="T155" s="170"/>
    </row>
    <row r="157" spans="1:21" x14ac:dyDescent="0.25">
      <c r="S157" s="182"/>
    </row>
    <row r="158" spans="1:21" s="184" customFormat="1" x14ac:dyDescent="0.25">
      <c r="B158" s="171"/>
      <c r="C158" s="173"/>
      <c r="D158" s="173"/>
      <c r="E158" s="173"/>
      <c r="F158" s="173"/>
      <c r="G158" s="173"/>
      <c r="H158" s="173"/>
      <c r="I158" s="173"/>
      <c r="J158" s="173"/>
      <c r="K158" s="181"/>
      <c r="L158" s="173"/>
      <c r="M158" s="173"/>
      <c r="N158" s="173"/>
      <c r="O158" s="173"/>
      <c r="P158" s="183"/>
      <c r="Q158" s="173"/>
      <c r="R158" s="173"/>
      <c r="S158" s="182"/>
      <c r="T158" s="173"/>
      <c r="U158" s="172"/>
    </row>
  </sheetData>
  <sheetProtection formatCells="0" formatColumns="0" formatRows="0" insertColumns="0" insertRows="0" insertHyperlinks="0" deleteColumns="0" deleteRows="0" sort="0" autoFilter="0" pivotTables="0"/>
  <protectedRanges>
    <protectedRange password="C670" sqref="T80:T92 O80:S92 O74:T77 A65:T68 A74:N77 A80:N92" name="Maria"/>
    <protectedRange algorithmName="SHA-512" hashValue="R0m7mG/o0t2+7dbQTzM5iQkFX2amgAS+iAGJudQnnweh07e6LDAbSuhvcwbzcp7drP+HIG4d/wHfMCXiBXmkow==" saltValue="hXh6Ce3lteSj/cvmR3BSBw==" spinCount="100000" sqref="T112:T132 T142 A142:R142 A112:R132" name="Narine"/>
    <protectedRange algorithmName="SHA-512" hashValue="/qDn2zoAPl6XveVGTDHZcWIjR6P6fmKMYiOIx92BVGuoQ3TYOXlsDsoiDSLs1D9Ugjb3A3EixLJ11cGk8PSHvw==" saltValue="LV/JN9wntl8CkZ3QpoEkqA==" spinCount="100000" sqref="O62:R63 T96:T97 O96:R97 T62:T63 A96:N97 A62:N63" name="Nara"/>
    <protectedRange algorithmName="SHA-512" hashValue="2hnhy85Hze6pXZTujHMyiGA7lE9yapdzAMEgpTAQUbEvX5wkbgVJAYj8efzABUddHb+HHBXm+QO7FFQ7DdcL0Q==" saltValue="/3Se5MhqYIbXZuII16lL6A==" spinCount="100000" sqref="T73 T102:T107 O102:S107 O73:S73 A73:N73 A102:N107" name="Range4"/>
  </protectedRanges>
  <mergeCells count="193">
    <mergeCell ref="D141:L141"/>
    <mergeCell ref="A133:C136"/>
    <mergeCell ref="D133:L133"/>
    <mergeCell ref="D134:L134"/>
    <mergeCell ref="D135:L135"/>
    <mergeCell ref="D136:L136"/>
    <mergeCell ref="A137:C141"/>
    <mergeCell ref="D137:L137"/>
    <mergeCell ref="D138:L138"/>
    <mergeCell ref="D139:L139"/>
    <mergeCell ref="D140:L140"/>
    <mergeCell ref="A108:C111"/>
    <mergeCell ref="D108:L108"/>
    <mergeCell ref="D109:L109"/>
    <mergeCell ref="D110:L110"/>
    <mergeCell ref="D111:L111"/>
    <mergeCell ref="A98:C101"/>
    <mergeCell ref="D98:L98"/>
    <mergeCell ref="D99:L99"/>
    <mergeCell ref="D100:L100"/>
    <mergeCell ref="D101:L101"/>
    <mergeCell ref="B105:B107"/>
    <mergeCell ref="C105:C107"/>
    <mergeCell ref="T87:T88"/>
    <mergeCell ref="A93:A94"/>
    <mergeCell ref="B93:B94"/>
    <mergeCell ref="C93:C94"/>
    <mergeCell ref="D93:D94"/>
    <mergeCell ref="K93:K94"/>
    <mergeCell ref="L93:L94"/>
    <mergeCell ref="T93:T94"/>
    <mergeCell ref="A76:A77"/>
    <mergeCell ref="B76:B77"/>
    <mergeCell ref="C76:C77"/>
    <mergeCell ref="L76:L77"/>
    <mergeCell ref="T81:T83"/>
    <mergeCell ref="A87:A88"/>
    <mergeCell ref="B87:B88"/>
    <mergeCell ref="C87:C88"/>
    <mergeCell ref="D87:D88"/>
    <mergeCell ref="K87:K88"/>
    <mergeCell ref="A58:C61"/>
    <mergeCell ref="D58:L58"/>
    <mergeCell ref="D59:L59"/>
    <mergeCell ref="D60:L60"/>
    <mergeCell ref="D61:L61"/>
    <mergeCell ref="A69:C72"/>
    <mergeCell ref="D69:L69"/>
    <mergeCell ref="D70:L70"/>
    <mergeCell ref="D71:L71"/>
    <mergeCell ref="D72:L72"/>
    <mergeCell ref="B53:B54"/>
    <mergeCell ref="T53:T54"/>
    <mergeCell ref="A56:A57"/>
    <mergeCell ref="B56:B57"/>
    <mergeCell ref="C56:C57"/>
    <mergeCell ref="T56:T57"/>
    <mergeCell ref="P45:P46"/>
    <mergeCell ref="A47:C51"/>
    <mergeCell ref="D47:L47"/>
    <mergeCell ref="D48:L48"/>
    <mergeCell ref="D49:L49"/>
    <mergeCell ref="D50:L50"/>
    <mergeCell ref="D51:L51"/>
    <mergeCell ref="T34:T36"/>
    <mergeCell ref="A43:A44"/>
    <mergeCell ref="B43:B44"/>
    <mergeCell ref="C43:C44"/>
    <mergeCell ref="K43:K44"/>
    <mergeCell ref="L43:L44"/>
    <mergeCell ref="P43:P44"/>
    <mergeCell ref="T43:T44"/>
    <mergeCell ref="A34:A36"/>
    <mergeCell ref="B34:B36"/>
    <mergeCell ref="C34:C36"/>
    <mergeCell ref="D34:D36"/>
    <mergeCell ref="E34:E36"/>
    <mergeCell ref="K34:K36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J27:J28"/>
    <mergeCell ref="C29:C30"/>
    <mergeCell ref="D29:D30"/>
    <mergeCell ref="E29:E30"/>
    <mergeCell ref="F29:F30"/>
    <mergeCell ref="G29:G30"/>
    <mergeCell ref="H29:H30"/>
    <mergeCell ref="I29:I30"/>
    <mergeCell ref="J29:J30"/>
    <mergeCell ref="C27:C28"/>
    <mergeCell ref="D27:D28"/>
    <mergeCell ref="F27:F28"/>
    <mergeCell ref="G27:G28"/>
    <mergeCell ref="H27:H28"/>
    <mergeCell ref="I27:I28"/>
    <mergeCell ref="P19:P22"/>
    <mergeCell ref="T19:T20"/>
    <mergeCell ref="P23:P24"/>
    <mergeCell ref="T23:T24"/>
    <mergeCell ref="A25:A26"/>
    <mergeCell ref="B25:B26"/>
    <mergeCell ref="K25:K26"/>
    <mergeCell ref="L25:L26"/>
    <mergeCell ref="P25:P26"/>
    <mergeCell ref="T25:T26"/>
    <mergeCell ref="G23:G26"/>
    <mergeCell ref="H23:H26"/>
    <mergeCell ref="I23:I26"/>
    <mergeCell ref="J23:J26"/>
    <mergeCell ref="K23:K24"/>
    <mergeCell ref="L23:L24"/>
    <mergeCell ref="A23:A24"/>
    <mergeCell ref="B23:B24"/>
    <mergeCell ref="C23:C26"/>
    <mergeCell ref="D23:D26"/>
    <mergeCell ref="E23:E26"/>
    <mergeCell ref="F23:F26"/>
    <mergeCell ref="T17:T18"/>
    <mergeCell ref="A19:A20"/>
    <mergeCell ref="B19:B20"/>
    <mergeCell ref="C19:C22"/>
    <mergeCell ref="D19:D22"/>
    <mergeCell ref="E19:E21"/>
    <mergeCell ref="F19:F21"/>
    <mergeCell ref="G19:G21"/>
    <mergeCell ref="H19:H21"/>
    <mergeCell ref="A17:A18"/>
    <mergeCell ref="B17:B18"/>
    <mergeCell ref="C17:C18"/>
    <mergeCell ref="D17:D18"/>
    <mergeCell ref="K17:K18"/>
    <mergeCell ref="L17:L18"/>
    <mergeCell ref="A21:A22"/>
    <mergeCell ref="B21:B22"/>
    <mergeCell ref="K21:K22"/>
    <mergeCell ref="L21:L22"/>
    <mergeCell ref="T21:T22"/>
    <mergeCell ref="I19:I21"/>
    <mergeCell ref="J19:J21"/>
    <mergeCell ref="K19:K20"/>
    <mergeCell ref="L19:L20"/>
    <mergeCell ref="J15:J16"/>
    <mergeCell ref="K15:K16"/>
    <mergeCell ref="L15:L16"/>
    <mergeCell ref="P15:P16"/>
    <mergeCell ref="T15:T16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3:A14"/>
    <mergeCell ref="B13:B14"/>
    <mergeCell ref="C13:C14"/>
    <mergeCell ref="K13:K14"/>
    <mergeCell ref="L13:L14"/>
    <mergeCell ref="P13:P14"/>
    <mergeCell ref="A1:T1"/>
    <mergeCell ref="A2:T2"/>
    <mergeCell ref="A5:A6"/>
    <mergeCell ref="B5:B6"/>
    <mergeCell ref="D5:D6"/>
    <mergeCell ref="E5:E6"/>
    <mergeCell ref="K5:K6"/>
    <mergeCell ref="T9:T10"/>
    <mergeCell ref="A11:A12"/>
    <mergeCell ref="B11:B12"/>
    <mergeCell ref="C11:C12"/>
    <mergeCell ref="K11:K12"/>
    <mergeCell ref="L11:L12"/>
    <mergeCell ref="P11:P12"/>
    <mergeCell ref="T11:T12"/>
    <mergeCell ref="A9:A10"/>
    <mergeCell ref="B9:B10"/>
    <mergeCell ref="C9:C10"/>
    <mergeCell ref="K9:K10"/>
    <mergeCell ref="L9:L10"/>
    <mergeCell ref="P9:P10"/>
  </mergeCells>
  <conditionalFormatting sqref="O5">
    <cfRule type="cellIs" dxfId="9" priority="5" operator="notEqual">
      <formula>#REF!</formula>
    </cfRule>
  </conditionalFormatting>
  <conditionalFormatting sqref="O95 O6:O33 O35:O41 O43:O45">
    <cfRule type="cellIs" dxfId="8" priority="4" operator="notEqual">
      <formula>#REF!</formula>
    </cfRule>
  </conditionalFormatting>
  <conditionalFormatting sqref="N21">
    <cfRule type="cellIs" dxfId="7" priority="3" operator="notEqual">
      <formula>#REF!</formula>
    </cfRule>
  </conditionalFormatting>
  <conditionalFormatting sqref="O46">
    <cfRule type="cellIs" dxfId="6" priority="2" operator="notEqual">
      <formula>#REF!</formula>
    </cfRule>
  </conditionalFormatting>
  <conditionalFormatting sqref="O79">
    <cfRule type="cellIs" dxfId="5" priority="1" operator="notEqual">
      <formula>#REF!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79" sqref="O79"/>
    </sheetView>
  </sheetViews>
  <sheetFormatPr defaultRowHeight="13.5" outlineLevelRow="1" x14ac:dyDescent="0.25"/>
  <cols>
    <col min="1" max="1" width="6.85546875" style="17" customWidth="1"/>
    <col min="2" max="2" width="23.7109375" style="33" customWidth="1"/>
    <col min="3" max="3" width="23.42578125" style="17" customWidth="1"/>
    <col min="4" max="4" width="16.140625" style="17" customWidth="1"/>
    <col min="5" max="10" width="16.140625" style="17" hidden="1" customWidth="1"/>
    <col min="11" max="11" width="18.85546875" style="160" customWidth="1"/>
    <col min="12" max="12" width="20.140625" style="17" customWidth="1"/>
    <col min="13" max="13" width="16.42578125" style="17" bestFit="1" customWidth="1"/>
    <col min="14" max="14" width="19.7109375" style="17" customWidth="1"/>
    <col min="15" max="15" width="20.28515625" style="17" customWidth="1"/>
    <col min="16" max="16" width="21.7109375" style="162" customWidth="1"/>
    <col min="17" max="17" width="18.5703125" style="17" customWidth="1"/>
    <col min="18" max="18" width="18.85546875" style="17" bestFit="1" customWidth="1"/>
    <col min="19" max="19" width="26.7109375" style="17" bestFit="1" customWidth="1"/>
    <col min="20" max="20" width="26.42578125" style="17" customWidth="1"/>
    <col min="21" max="21" width="23.5703125" style="16" customWidth="1"/>
    <col min="22" max="22" width="21.85546875" style="17" customWidth="1"/>
    <col min="23" max="16384" width="9.140625" style="17"/>
  </cols>
  <sheetData>
    <row r="1" spans="1:22" ht="22.5" x14ac:dyDescent="0.4">
      <c r="A1" s="544" t="s">
        <v>18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</row>
    <row r="2" spans="1:22" ht="49.5" customHeight="1" x14ac:dyDescent="0.4">
      <c r="A2" s="545" t="s">
        <v>471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</row>
    <row r="3" spans="1:22" ht="14.25" thickBot="1" x14ac:dyDescent="0.3">
      <c r="A3" s="18"/>
      <c r="C3" s="18"/>
      <c r="D3" s="18"/>
      <c r="E3" s="18"/>
      <c r="F3" s="18"/>
      <c r="G3" s="18"/>
      <c r="H3" s="18"/>
      <c r="I3" s="18"/>
      <c r="J3" s="18"/>
      <c r="K3" s="34"/>
      <c r="L3" s="18"/>
      <c r="M3" s="18"/>
      <c r="N3" s="18"/>
      <c r="O3" s="18"/>
      <c r="P3" s="35"/>
      <c r="Q3" s="18"/>
      <c r="R3" s="18"/>
      <c r="S3" s="18"/>
      <c r="T3" s="18"/>
    </row>
    <row r="4" spans="1:22" s="13" customFormat="1" ht="114" customHeight="1" thickBot="1" x14ac:dyDescent="0.3">
      <c r="A4" s="36" t="s">
        <v>19</v>
      </c>
      <c r="B4" s="37" t="s">
        <v>20</v>
      </c>
      <c r="C4" s="37" t="s">
        <v>21</v>
      </c>
      <c r="D4" s="37" t="s">
        <v>22</v>
      </c>
      <c r="E4" s="38" t="s">
        <v>23</v>
      </c>
      <c r="F4" s="37" t="s">
        <v>457</v>
      </c>
      <c r="G4" s="37" t="s">
        <v>458</v>
      </c>
      <c r="H4" s="37" t="s">
        <v>459</v>
      </c>
      <c r="I4" s="37" t="s">
        <v>460</v>
      </c>
      <c r="J4" s="37" t="s">
        <v>461</v>
      </c>
      <c r="K4" s="37" t="s">
        <v>314</v>
      </c>
      <c r="L4" s="37" t="s">
        <v>306</v>
      </c>
      <c r="M4" s="37" t="s">
        <v>23</v>
      </c>
      <c r="N4" s="37" t="s">
        <v>24</v>
      </c>
      <c r="O4" s="37" t="s">
        <v>25</v>
      </c>
      <c r="P4" s="39" t="s">
        <v>26</v>
      </c>
      <c r="Q4" s="37" t="s">
        <v>27</v>
      </c>
      <c r="R4" s="37" t="s">
        <v>28</v>
      </c>
      <c r="S4" s="37" t="s">
        <v>29</v>
      </c>
      <c r="T4" s="40" t="s">
        <v>30</v>
      </c>
      <c r="U4" s="12"/>
    </row>
    <row r="5" spans="1:22" ht="60" customHeight="1" outlineLevel="1" x14ac:dyDescent="0.25">
      <c r="A5" s="546">
        <v>1</v>
      </c>
      <c r="B5" s="548" t="s">
        <v>31</v>
      </c>
      <c r="C5" s="41" t="s">
        <v>32</v>
      </c>
      <c r="D5" s="550" t="s">
        <v>33</v>
      </c>
      <c r="E5" s="550" t="s">
        <v>35</v>
      </c>
      <c r="F5" s="42">
        <v>7300000</v>
      </c>
      <c r="G5" s="42">
        <v>5822389.5</v>
      </c>
      <c r="H5" s="43">
        <v>7.4999999999999997E-3</v>
      </c>
      <c r="I5" s="44"/>
      <c r="J5" s="45">
        <f t="shared" ref="J5:J15" si="0">G5-I5</f>
        <v>5822389.5</v>
      </c>
      <c r="K5" s="552" t="s">
        <v>315</v>
      </c>
      <c r="L5" s="46" t="s">
        <v>34</v>
      </c>
      <c r="M5" s="47" t="s">
        <v>35</v>
      </c>
      <c r="N5" s="48">
        <v>7300000</v>
      </c>
      <c r="O5" s="49">
        <f>5822389.5+13412.1+4470.7+716451.75+24588.85+716451.75+2235.35</f>
        <v>7299999.9999999991</v>
      </c>
      <c r="P5" s="43" t="s">
        <v>36</v>
      </c>
      <c r="Q5" s="49">
        <f>595000+119000+119000+119000+119000</f>
        <v>1071000</v>
      </c>
      <c r="R5" s="49">
        <v>628729.69999999995</v>
      </c>
      <c r="S5" s="48">
        <f t="shared" ref="S5:S33" si="1">O5-Q5</f>
        <v>6228999.9999999991</v>
      </c>
      <c r="T5" s="50" t="s">
        <v>37</v>
      </c>
      <c r="V5" s="16"/>
    </row>
    <row r="6" spans="1:22" ht="75.75" customHeight="1" outlineLevel="1" x14ac:dyDescent="0.25">
      <c r="A6" s="547"/>
      <c r="B6" s="549"/>
      <c r="C6" s="51" t="s">
        <v>38</v>
      </c>
      <c r="D6" s="551"/>
      <c r="E6" s="551"/>
      <c r="F6" s="52">
        <v>7300000</v>
      </c>
      <c r="G6" s="52">
        <v>7300000</v>
      </c>
      <c r="H6" s="53" t="s">
        <v>40</v>
      </c>
      <c r="I6" s="54"/>
      <c r="J6" s="55">
        <f t="shared" si="0"/>
        <v>7300000</v>
      </c>
      <c r="K6" s="553"/>
      <c r="L6" s="56" t="s">
        <v>39</v>
      </c>
      <c r="M6" s="57" t="s">
        <v>35</v>
      </c>
      <c r="N6" s="49">
        <v>7300000</v>
      </c>
      <c r="O6" s="49">
        <v>7299999.9999999981</v>
      </c>
      <c r="P6" s="53" t="s">
        <v>40</v>
      </c>
      <c r="Q6" s="49">
        <f>5474999.9+304166.7+304166.7+304166.7+304166.7</f>
        <v>6691666.7000000011</v>
      </c>
      <c r="R6" s="49">
        <v>1226756</v>
      </c>
      <c r="S6" s="49">
        <f t="shared" si="1"/>
        <v>608333.29999999702</v>
      </c>
      <c r="T6" s="58" t="s">
        <v>41</v>
      </c>
      <c r="V6" s="16"/>
    </row>
    <row r="7" spans="1:22" ht="64.5" customHeight="1" outlineLevel="1" x14ac:dyDescent="0.25">
      <c r="A7" s="27">
        <v>2</v>
      </c>
      <c r="B7" s="59" t="s">
        <v>31</v>
      </c>
      <c r="C7" s="59" t="s">
        <v>42</v>
      </c>
      <c r="D7" s="56" t="s">
        <v>33</v>
      </c>
      <c r="E7" s="57" t="s">
        <v>35</v>
      </c>
      <c r="F7" s="52">
        <v>14060527</v>
      </c>
      <c r="G7" s="52">
        <v>14060527</v>
      </c>
      <c r="H7" s="60">
        <v>7.4999999999999997E-3</v>
      </c>
      <c r="I7" s="52">
        <v>3044232</v>
      </c>
      <c r="J7" s="55">
        <f t="shared" si="0"/>
        <v>11016295</v>
      </c>
      <c r="K7" s="61" t="s">
        <v>316</v>
      </c>
      <c r="L7" s="56" t="s">
        <v>43</v>
      </c>
      <c r="M7" s="57" t="s">
        <v>35</v>
      </c>
      <c r="N7" s="49">
        <v>14060526.73</v>
      </c>
      <c r="O7" s="49">
        <v>14060526.73</v>
      </c>
      <c r="P7" s="60">
        <v>7.4999999999999997E-3</v>
      </c>
      <c r="Q7" s="49">
        <f>5858552.73979552+234342.1+234342.1+98055764.9/418.43+98932204.4/422.17</f>
        <v>6795921.1398902042</v>
      </c>
      <c r="R7" s="49">
        <f>1294472.69934396+40254.3+39195.3+16095956/418.43+15796672.6/422.17</f>
        <v>1449807.5992226265</v>
      </c>
      <c r="S7" s="49">
        <f t="shared" si="1"/>
        <v>7264605.5901097963</v>
      </c>
      <c r="T7" s="58" t="s">
        <v>37</v>
      </c>
      <c r="V7" s="16"/>
    </row>
    <row r="8" spans="1:22" ht="67.5" outlineLevel="1" x14ac:dyDescent="0.25">
      <c r="A8" s="27">
        <v>3</v>
      </c>
      <c r="B8" s="59" t="s">
        <v>31</v>
      </c>
      <c r="C8" s="59" t="s">
        <v>44</v>
      </c>
      <c r="D8" s="56" t="s">
        <v>33</v>
      </c>
      <c r="E8" s="57" t="s">
        <v>35</v>
      </c>
      <c r="F8" s="52">
        <v>75000000</v>
      </c>
      <c r="G8" s="52">
        <v>0</v>
      </c>
      <c r="H8" s="60">
        <v>1.8499999999999999E-2</v>
      </c>
      <c r="I8" s="54"/>
      <c r="J8" s="55">
        <f t="shared" si="0"/>
        <v>0</v>
      </c>
      <c r="K8" s="61" t="s">
        <v>317</v>
      </c>
      <c r="L8" s="56" t="s">
        <v>45</v>
      </c>
      <c r="M8" s="57" t="s">
        <v>35</v>
      </c>
      <c r="N8" s="49">
        <v>75000000</v>
      </c>
      <c r="O8" s="49"/>
      <c r="P8" s="60" t="s">
        <v>46</v>
      </c>
      <c r="Q8" s="49"/>
      <c r="R8" s="49">
        <f>1932812.5+93750+93750+93750+93750</f>
        <v>2307812.5</v>
      </c>
      <c r="S8" s="49">
        <f t="shared" si="1"/>
        <v>0</v>
      </c>
      <c r="T8" s="58" t="s">
        <v>41</v>
      </c>
      <c r="V8" s="16"/>
    </row>
    <row r="9" spans="1:22" ht="57.75" customHeight="1" outlineLevel="1" x14ac:dyDescent="0.25">
      <c r="A9" s="556">
        <v>4</v>
      </c>
      <c r="B9" s="557" t="s">
        <v>31</v>
      </c>
      <c r="C9" s="557" t="s">
        <v>44</v>
      </c>
      <c r="D9" s="56" t="s">
        <v>33</v>
      </c>
      <c r="E9" s="57" t="s">
        <v>35</v>
      </c>
      <c r="F9" s="52">
        <v>10200000</v>
      </c>
      <c r="G9" s="52">
        <v>0</v>
      </c>
      <c r="H9" s="60">
        <v>7.4999999999999997E-3</v>
      </c>
      <c r="I9" s="53"/>
      <c r="J9" s="55">
        <f t="shared" si="0"/>
        <v>0</v>
      </c>
      <c r="K9" s="558" t="s">
        <v>317</v>
      </c>
      <c r="L9" s="559" t="s">
        <v>47</v>
      </c>
      <c r="M9" s="57" t="s">
        <v>35</v>
      </c>
      <c r="N9" s="49">
        <v>10200000</v>
      </c>
      <c r="O9" s="49">
        <f>1075381.69+59500</f>
        <v>1134881.69</v>
      </c>
      <c r="P9" s="560" t="s">
        <v>36</v>
      </c>
      <c r="Q9" s="49">
        <v>0</v>
      </c>
      <c r="R9" s="49">
        <f>200690.672577969+15587.2+6522152.1/418.43+6580448.3/422.17</f>
        <v>247452.27276755084</v>
      </c>
      <c r="S9" s="49">
        <f>O9-Q9</f>
        <v>1134881.69</v>
      </c>
      <c r="T9" s="554" t="s">
        <v>41</v>
      </c>
      <c r="V9" s="16"/>
    </row>
    <row r="10" spans="1:22" ht="57.75" customHeight="1" outlineLevel="1" x14ac:dyDescent="0.25">
      <c r="A10" s="546"/>
      <c r="B10" s="549"/>
      <c r="C10" s="549"/>
      <c r="D10" s="56"/>
      <c r="E10" s="57"/>
      <c r="F10" s="52"/>
      <c r="G10" s="52"/>
      <c r="H10" s="60"/>
      <c r="I10" s="53"/>
      <c r="J10" s="55"/>
      <c r="K10" s="552"/>
      <c r="L10" s="550"/>
      <c r="M10" s="57" t="s">
        <v>3</v>
      </c>
      <c r="N10" s="49"/>
      <c r="O10" s="49">
        <v>244081445</v>
      </c>
      <c r="P10" s="561"/>
      <c r="Q10" s="49"/>
      <c r="R10" s="49">
        <f>9774294.3+915305.4+915305.4</f>
        <v>11604905.100000001</v>
      </c>
      <c r="S10" s="49">
        <f>O10-Q10</f>
        <v>244081445</v>
      </c>
      <c r="T10" s="555"/>
      <c r="V10" s="16"/>
    </row>
    <row r="11" spans="1:22" ht="76.5" customHeight="1" outlineLevel="1" x14ac:dyDescent="0.25">
      <c r="A11" s="556">
        <v>5</v>
      </c>
      <c r="B11" s="557" t="s">
        <v>31</v>
      </c>
      <c r="C11" s="557" t="s">
        <v>48</v>
      </c>
      <c r="D11" s="56"/>
      <c r="E11" s="57"/>
      <c r="F11" s="52"/>
      <c r="G11" s="52"/>
      <c r="H11" s="60"/>
      <c r="I11" s="53"/>
      <c r="J11" s="55"/>
      <c r="K11" s="558" t="s">
        <v>318</v>
      </c>
      <c r="L11" s="559" t="s">
        <v>49</v>
      </c>
      <c r="M11" s="57" t="s">
        <v>35</v>
      </c>
      <c r="N11" s="49">
        <v>10000000</v>
      </c>
      <c r="O11" s="49"/>
      <c r="P11" s="560" t="s">
        <v>50</v>
      </c>
      <c r="Q11" s="49"/>
      <c r="R11" s="49">
        <v>50000</v>
      </c>
      <c r="S11" s="49">
        <f>O11-Q11</f>
        <v>0</v>
      </c>
      <c r="T11" s="554" t="s">
        <v>51</v>
      </c>
      <c r="V11" s="16"/>
    </row>
    <row r="12" spans="1:22" ht="76.5" customHeight="1" outlineLevel="1" x14ac:dyDescent="0.25">
      <c r="A12" s="546"/>
      <c r="B12" s="549"/>
      <c r="C12" s="549"/>
      <c r="D12" s="56"/>
      <c r="E12" s="57"/>
      <c r="F12" s="52"/>
      <c r="G12" s="52"/>
      <c r="H12" s="60"/>
      <c r="I12" s="53"/>
      <c r="J12" s="55"/>
      <c r="K12" s="552"/>
      <c r="L12" s="550"/>
      <c r="M12" s="56" t="s">
        <v>3</v>
      </c>
      <c r="N12" s="49"/>
      <c r="O12" s="49"/>
      <c r="P12" s="561"/>
      <c r="Q12" s="49"/>
      <c r="R12" s="49"/>
      <c r="S12" s="49">
        <f t="shared" si="1"/>
        <v>0</v>
      </c>
      <c r="T12" s="555"/>
      <c r="V12" s="16"/>
    </row>
    <row r="13" spans="1:22" ht="76.5" customHeight="1" outlineLevel="1" x14ac:dyDescent="0.25">
      <c r="A13" s="556">
        <v>6</v>
      </c>
      <c r="B13" s="557" t="s">
        <v>31</v>
      </c>
      <c r="C13" s="557" t="s">
        <v>52</v>
      </c>
      <c r="D13" s="56"/>
      <c r="E13" s="57"/>
      <c r="F13" s="52"/>
      <c r="G13" s="52"/>
      <c r="H13" s="60"/>
      <c r="I13" s="53"/>
      <c r="J13" s="55"/>
      <c r="K13" s="558" t="s">
        <v>319</v>
      </c>
      <c r="L13" s="559" t="s">
        <v>53</v>
      </c>
      <c r="M13" s="57" t="s">
        <v>35</v>
      </c>
      <c r="N13" s="49">
        <v>83000000</v>
      </c>
      <c r="O13" s="49"/>
      <c r="P13" s="560">
        <v>1.7999999999999999E-2</v>
      </c>
      <c r="Q13" s="49"/>
      <c r="R13" s="49">
        <f>1930326.40003794+103750+103750+103750+103750</f>
        <v>2345326.4000379397</v>
      </c>
      <c r="S13" s="49">
        <f t="shared" si="1"/>
        <v>0</v>
      </c>
      <c r="T13" s="554" t="s">
        <v>41</v>
      </c>
      <c r="V13" s="16"/>
    </row>
    <row r="14" spans="1:22" ht="76.5" customHeight="1" outlineLevel="1" x14ac:dyDescent="0.25">
      <c r="A14" s="546"/>
      <c r="B14" s="549"/>
      <c r="C14" s="549"/>
      <c r="D14" s="56"/>
      <c r="E14" s="57"/>
      <c r="F14" s="52"/>
      <c r="G14" s="52"/>
      <c r="H14" s="60"/>
      <c r="I14" s="53"/>
      <c r="J14" s="55"/>
      <c r="K14" s="552"/>
      <c r="L14" s="550"/>
      <c r="M14" s="56" t="s">
        <v>3</v>
      </c>
      <c r="N14" s="49"/>
      <c r="O14" s="49"/>
      <c r="P14" s="561"/>
      <c r="Q14" s="49"/>
      <c r="R14" s="49"/>
      <c r="S14" s="49">
        <f t="shared" si="1"/>
        <v>0</v>
      </c>
      <c r="T14" s="555"/>
      <c r="U14" s="19"/>
      <c r="V14" s="16"/>
    </row>
    <row r="15" spans="1:22" ht="96.75" customHeight="1" outlineLevel="1" x14ac:dyDescent="0.25">
      <c r="A15" s="547">
        <v>7</v>
      </c>
      <c r="B15" s="557" t="s">
        <v>31</v>
      </c>
      <c r="C15" s="557" t="s">
        <v>54</v>
      </c>
      <c r="D15" s="551" t="s">
        <v>55</v>
      </c>
      <c r="E15" s="563" t="s">
        <v>57</v>
      </c>
      <c r="F15" s="564">
        <v>39000000</v>
      </c>
      <c r="G15" s="564">
        <f>18026903.76+130476.4+43674.47+204502+159552.28+20280.3+101559+88268.89+153855.7+63854.08</f>
        <v>18992926.879999999</v>
      </c>
      <c r="H15" s="563" t="s">
        <v>462</v>
      </c>
      <c r="I15" s="562"/>
      <c r="J15" s="562">
        <f t="shared" si="0"/>
        <v>18992926.879999999</v>
      </c>
      <c r="K15" s="553" t="s">
        <v>320</v>
      </c>
      <c r="L15" s="551" t="s">
        <v>56</v>
      </c>
      <c r="M15" s="57" t="s">
        <v>57</v>
      </c>
      <c r="N15" s="49">
        <f>35500000-1434414.8</f>
        <v>34065585.200000003</v>
      </c>
      <c r="O15" s="49">
        <v>34065585.200000003</v>
      </c>
      <c r="P15" s="563" t="s">
        <v>387</v>
      </c>
      <c r="Q15" s="49">
        <f>3406558.5+438685248.4/386.33</f>
        <v>4542077.9999094037</v>
      </c>
      <c r="R15" s="49">
        <f>6927866.15+372600334/386.33</f>
        <v>7892327.4499249347</v>
      </c>
      <c r="S15" s="49">
        <f t="shared" si="1"/>
        <v>29523507.200090598</v>
      </c>
      <c r="T15" s="554" t="s">
        <v>58</v>
      </c>
      <c r="U15" s="19"/>
      <c r="V15" s="16"/>
    </row>
    <row r="16" spans="1:22" ht="68.25" customHeight="1" outlineLevel="1" x14ac:dyDescent="0.25">
      <c r="A16" s="547"/>
      <c r="B16" s="549"/>
      <c r="C16" s="549"/>
      <c r="D16" s="551"/>
      <c r="E16" s="563"/>
      <c r="F16" s="564"/>
      <c r="G16" s="564"/>
      <c r="H16" s="563"/>
      <c r="I16" s="562"/>
      <c r="J16" s="562"/>
      <c r="K16" s="553"/>
      <c r="L16" s="551"/>
      <c r="M16" s="56" t="s">
        <v>3</v>
      </c>
      <c r="N16" s="49"/>
      <c r="O16" s="49">
        <v>3680136115.8000002</v>
      </c>
      <c r="P16" s="563"/>
      <c r="Q16" s="49">
        <f>387003402.1+121967878.3</f>
        <v>508971280.40000004</v>
      </c>
      <c r="R16" s="49">
        <f>743758864.24+103594252.5</f>
        <v>847353116.74000001</v>
      </c>
      <c r="S16" s="49">
        <f t="shared" si="1"/>
        <v>3171164835.4000001</v>
      </c>
      <c r="T16" s="555"/>
      <c r="U16" s="19"/>
      <c r="V16" s="16"/>
    </row>
    <row r="17" spans="1:21" s="16" customFormat="1" ht="81" customHeight="1" outlineLevel="1" x14ac:dyDescent="0.25">
      <c r="A17" s="556">
        <v>8</v>
      </c>
      <c r="B17" s="557" t="s">
        <v>31</v>
      </c>
      <c r="C17" s="557" t="s">
        <v>59</v>
      </c>
      <c r="D17" s="559" t="s">
        <v>55</v>
      </c>
      <c r="E17" s="53" t="s">
        <v>57</v>
      </c>
      <c r="F17" s="52">
        <v>40000000</v>
      </c>
      <c r="G17" s="55">
        <v>100000</v>
      </c>
      <c r="H17" s="53" t="s">
        <v>462</v>
      </c>
      <c r="I17" s="55">
        <v>0</v>
      </c>
      <c r="J17" s="55">
        <f>G17-I17</f>
        <v>100000</v>
      </c>
      <c r="K17" s="558" t="s">
        <v>321</v>
      </c>
      <c r="L17" s="558" t="s">
        <v>60</v>
      </c>
      <c r="M17" s="57" t="s">
        <v>57</v>
      </c>
      <c r="N17" s="52">
        <f>40000000-2500000-1500000</f>
        <v>36000000</v>
      </c>
      <c r="O17" s="49">
        <v>23800757.16</v>
      </c>
      <c r="P17" s="60" t="s">
        <v>387</v>
      </c>
      <c r="Q17" s="49">
        <v>0</v>
      </c>
      <c r="R17" s="49">
        <v>2610870.4511588858</v>
      </c>
      <c r="S17" s="49">
        <f t="shared" si="1"/>
        <v>23800757.16</v>
      </c>
      <c r="T17" s="554" t="s">
        <v>58</v>
      </c>
      <c r="U17" s="19"/>
    </row>
    <row r="18" spans="1:21" s="16" customFormat="1" ht="39.75" customHeight="1" outlineLevel="1" x14ac:dyDescent="0.25">
      <c r="A18" s="546"/>
      <c r="B18" s="549"/>
      <c r="C18" s="549"/>
      <c r="D18" s="550"/>
      <c r="E18" s="53"/>
      <c r="F18" s="52"/>
      <c r="G18" s="55"/>
      <c r="H18" s="53"/>
      <c r="I18" s="55"/>
      <c r="J18" s="55"/>
      <c r="K18" s="552"/>
      <c r="L18" s="552"/>
      <c r="M18" s="56" t="s">
        <v>3</v>
      </c>
      <c r="N18" s="52"/>
      <c r="O18" s="49">
        <v>1014345134.8000001</v>
      </c>
      <c r="P18" s="60"/>
      <c r="Q18" s="49">
        <v>563212.19999999995</v>
      </c>
      <c r="R18" s="49">
        <v>103135336.99999999</v>
      </c>
      <c r="S18" s="49">
        <f t="shared" si="1"/>
        <v>1013781922.6</v>
      </c>
      <c r="T18" s="555"/>
      <c r="U18" s="19"/>
    </row>
    <row r="19" spans="1:21" s="16" customFormat="1" ht="70.5" customHeight="1" outlineLevel="1" x14ac:dyDescent="0.25">
      <c r="A19" s="556">
        <v>9</v>
      </c>
      <c r="B19" s="565" t="s">
        <v>31</v>
      </c>
      <c r="C19" s="557" t="s">
        <v>61</v>
      </c>
      <c r="D19" s="559" t="s">
        <v>55</v>
      </c>
      <c r="E19" s="563" t="s">
        <v>57</v>
      </c>
      <c r="F19" s="564">
        <v>52000000</v>
      </c>
      <c r="G19" s="562">
        <v>130000</v>
      </c>
      <c r="H19" s="563" t="s">
        <v>462</v>
      </c>
      <c r="I19" s="562"/>
      <c r="J19" s="562">
        <f>G19-I19</f>
        <v>130000</v>
      </c>
      <c r="K19" s="558" t="s">
        <v>322</v>
      </c>
      <c r="L19" s="558" t="s">
        <v>62</v>
      </c>
      <c r="M19" s="57" t="s">
        <v>57</v>
      </c>
      <c r="N19" s="52">
        <v>23194486</v>
      </c>
      <c r="O19" s="49">
        <v>11131836.780000001</v>
      </c>
      <c r="P19" s="560" t="s">
        <v>387</v>
      </c>
      <c r="Q19" s="49">
        <v>0</v>
      </c>
      <c r="R19" s="49">
        <f>1316813.632+122778919.2/386.33</f>
        <v>1634622.032072477</v>
      </c>
      <c r="S19" s="49">
        <f t="shared" si="1"/>
        <v>11131836.780000001</v>
      </c>
      <c r="T19" s="554" t="s">
        <v>58</v>
      </c>
      <c r="U19" s="19"/>
    </row>
    <row r="20" spans="1:21" s="16" customFormat="1" ht="54.75" customHeight="1" outlineLevel="1" x14ac:dyDescent="0.25">
      <c r="A20" s="546"/>
      <c r="B20" s="566"/>
      <c r="C20" s="567"/>
      <c r="D20" s="568"/>
      <c r="E20" s="563"/>
      <c r="F20" s="564"/>
      <c r="G20" s="562"/>
      <c r="H20" s="563"/>
      <c r="I20" s="562"/>
      <c r="J20" s="562"/>
      <c r="K20" s="552"/>
      <c r="L20" s="552"/>
      <c r="M20" s="56" t="s">
        <v>3</v>
      </c>
      <c r="N20" s="52"/>
      <c r="O20" s="49">
        <f>1415958093.3+500000</f>
        <v>1416458093.3</v>
      </c>
      <c r="P20" s="569"/>
      <c r="Q20" s="49">
        <v>91463799.799999997</v>
      </c>
      <c r="R20" s="49">
        <f>119885553.7+36155098.5</f>
        <v>156040652.19999999</v>
      </c>
      <c r="S20" s="49">
        <f t="shared" si="1"/>
        <v>1324994293.5</v>
      </c>
      <c r="T20" s="555"/>
      <c r="U20" s="19"/>
    </row>
    <row r="21" spans="1:21" s="16" customFormat="1" ht="60" customHeight="1" outlineLevel="1" x14ac:dyDescent="0.25">
      <c r="A21" s="556">
        <v>10</v>
      </c>
      <c r="B21" s="565" t="s">
        <v>63</v>
      </c>
      <c r="C21" s="567"/>
      <c r="D21" s="568"/>
      <c r="E21" s="563"/>
      <c r="F21" s="564"/>
      <c r="G21" s="562"/>
      <c r="H21" s="563"/>
      <c r="I21" s="562"/>
      <c r="J21" s="562"/>
      <c r="K21" s="558" t="s">
        <v>323</v>
      </c>
      <c r="L21" s="558" t="s">
        <v>62</v>
      </c>
      <c r="M21" s="57" t="s">
        <v>57</v>
      </c>
      <c r="N21" s="49">
        <v>16662617.070000002</v>
      </c>
      <c r="O21" s="49">
        <v>16662617.070000002</v>
      </c>
      <c r="P21" s="569"/>
      <c r="Q21" s="49"/>
      <c r="R21" s="49">
        <f>2194958+182027405/386.38</f>
        <v>2666067.8012319477</v>
      </c>
      <c r="S21" s="49">
        <f t="shared" si="1"/>
        <v>16662617.070000002</v>
      </c>
      <c r="T21" s="554" t="s">
        <v>58</v>
      </c>
      <c r="U21" s="19"/>
    </row>
    <row r="22" spans="1:21" s="16" customFormat="1" ht="40.5" customHeight="1" outlineLevel="1" x14ac:dyDescent="0.25">
      <c r="A22" s="546"/>
      <c r="B22" s="566"/>
      <c r="C22" s="549"/>
      <c r="D22" s="550"/>
      <c r="E22" s="62"/>
      <c r="F22" s="63"/>
      <c r="G22" s="64"/>
      <c r="H22" s="62"/>
      <c r="I22" s="64"/>
      <c r="J22" s="64"/>
      <c r="K22" s="552"/>
      <c r="L22" s="552"/>
      <c r="M22" s="57" t="s">
        <v>3</v>
      </c>
      <c r="N22" s="20"/>
      <c r="O22" s="49">
        <v>2003005775.2</v>
      </c>
      <c r="P22" s="561"/>
      <c r="Q22" s="49"/>
      <c r="R22" s="49">
        <f>238604865.8+56631905</f>
        <v>295236770.80000001</v>
      </c>
      <c r="S22" s="49">
        <f t="shared" si="1"/>
        <v>2003005775.2</v>
      </c>
      <c r="T22" s="555"/>
      <c r="U22" s="19"/>
    </row>
    <row r="23" spans="1:21" s="16" customFormat="1" ht="57.75" customHeight="1" outlineLevel="1" x14ac:dyDescent="0.25">
      <c r="A23" s="556">
        <v>11</v>
      </c>
      <c r="B23" s="565" t="s">
        <v>31</v>
      </c>
      <c r="C23" s="557" t="s">
        <v>64</v>
      </c>
      <c r="D23" s="559" t="s">
        <v>65</v>
      </c>
      <c r="E23" s="573" t="s">
        <v>463</v>
      </c>
      <c r="F23" s="576">
        <v>24022000</v>
      </c>
      <c r="G23" s="570">
        <f>O23+O25</f>
        <v>18384172.012149811</v>
      </c>
      <c r="H23" s="573">
        <v>0.02</v>
      </c>
      <c r="I23" s="570">
        <v>0</v>
      </c>
      <c r="J23" s="570">
        <f>G23-I23</f>
        <v>18384172.012149811</v>
      </c>
      <c r="K23" s="558" t="s">
        <v>321</v>
      </c>
      <c r="L23" s="559" t="s">
        <v>66</v>
      </c>
      <c r="M23" s="57" t="s">
        <v>67</v>
      </c>
      <c r="N23" s="65">
        <v>13988153</v>
      </c>
      <c r="O23" s="49">
        <v>8262785.6411363389</v>
      </c>
      <c r="P23" s="560">
        <v>3.1399999999999997E-2</v>
      </c>
      <c r="Q23" s="49">
        <f>1430873.60020494+107795234.9/520.68</f>
        <v>1637901.4001972578</v>
      </c>
      <c r="R23" s="49">
        <f>1219413.93+55848657.5/520.68</f>
        <v>1326674.9300384112</v>
      </c>
      <c r="S23" s="49">
        <f t="shared" si="1"/>
        <v>6624884.2409390807</v>
      </c>
      <c r="T23" s="554" t="s">
        <v>58</v>
      </c>
      <c r="U23" s="19"/>
    </row>
    <row r="24" spans="1:21" s="16" customFormat="1" ht="32.25" customHeight="1" outlineLevel="1" x14ac:dyDescent="0.25">
      <c r="A24" s="546"/>
      <c r="B24" s="566"/>
      <c r="C24" s="567"/>
      <c r="D24" s="568"/>
      <c r="E24" s="574"/>
      <c r="F24" s="577"/>
      <c r="G24" s="571"/>
      <c r="H24" s="574"/>
      <c r="I24" s="571"/>
      <c r="J24" s="571"/>
      <c r="K24" s="552"/>
      <c r="L24" s="550"/>
      <c r="M24" s="56" t="s">
        <v>3</v>
      </c>
      <c r="N24" s="66"/>
      <c r="O24" s="49">
        <v>1194787815</v>
      </c>
      <c r="P24" s="561"/>
      <c r="Q24" s="49">
        <f>209123295.3+29868621.8</f>
        <v>238991917.10000002</v>
      </c>
      <c r="R24" s="49">
        <f>177460224.6+15474933</f>
        <v>192935157.59999999</v>
      </c>
      <c r="S24" s="49">
        <f t="shared" si="1"/>
        <v>955795897.89999998</v>
      </c>
      <c r="T24" s="555"/>
      <c r="U24" s="19"/>
    </row>
    <row r="25" spans="1:21" s="16" customFormat="1" ht="51.75" customHeight="1" outlineLevel="1" x14ac:dyDescent="0.25">
      <c r="A25" s="556">
        <v>12</v>
      </c>
      <c r="B25" s="565" t="s">
        <v>68</v>
      </c>
      <c r="C25" s="567"/>
      <c r="D25" s="568"/>
      <c r="E25" s="574"/>
      <c r="F25" s="577"/>
      <c r="G25" s="571"/>
      <c r="H25" s="574"/>
      <c r="I25" s="571"/>
      <c r="J25" s="571"/>
      <c r="K25" s="558" t="s">
        <v>324</v>
      </c>
      <c r="L25" s="559" t="s">
        <v>66</v>
      </c>
      <c r="M25" s="57" t="s">
        <v>67</v>
      </c>
      <c r="N25" s="65">
        <v>10098535</v>
      </c>
      <c r="O25" s="49">
        <v>10121386.37101347</v>
      </c>
      <c r="P25" s="560">
        <v>3.1399999999999997E-2</v>
      </c>
      <c r="Q25" s="49">
        <f>1520990.1+136750579/520.29</f>
        <v>1783825.40146649</v>
      </c>
      <c r="R25" s="49">
        <f>832426.027338+83294453/525+70252782/520.29</f>
        <v>1126108.3290630269</v>
      </c>
      <c r="S25" s="49">
        <f t="shared" si="1"/>
        <v>8337560.9695469802</v>
      </c>
      <c r="T25" s="554" t="s">
        <v>58</v>
      </c>
      <c r="U25" s="19"/>
    </row>
    <row r="26" spans="1:21" s="16" customFormat="1" ht="32.25" customHeight="1" outlineLevel="1" x14ac:dyDescent="0.25">
      <c r="A26" s="546"/>
      <c r="B26" s="566"/>
      <c r="C26" s="549"/>
      <c r="D26" s="550"/>
      <c r="E26" s="575"/>
      <c r="F26" s="578"/>
      <c r="G26" s="572"/>
      <c r="H26" s="575"/>
      <c r="I26" s="572"/>
      <c r="J26" s="572"/>
      <c r="K26" s="552"/>
      <c r="L26" s="550"/>
      <c r="M26" s="56" t="s">
        <v>3</v>
      </c>
      <c r="N26" s="66"/>
      <c r="O26" s="49">
        <v>794162455.89999998</v>
      </c>
      <c r="P26" s="561"/>
      <c r="Q26" s="49">
        <f>123592049.7+20623615</f>
        <v>144215664.69999999</v>
      </c>
      <c r="R26" s="49">
        <f>78534680.8+10527955</f>
        <v>89062635.799999997</v>
      </c>
      <c r="S26" s="49">
        <f t="shared" si="1"/>
        <v>649946791.20000005</v>
      </c>
      <c r="T26" s="555"/>
      <c r="U26" s="19"/>
    </row>
    <row r="27" spans="1:21" s="16" customFormat="1" ht="48" customHeight="1" outlineLevel="1" x14ac:dyDescent="0.25">
      <c r="A27" s="27">
        <v>13</v>
      </c>
      <c r="B27" s="54" t="s">
        <v>31</v>
      </c>
      <c r="C27" s="580" t="s">
        <v>69</v>
      </c>
      <c r="D27" s="551" t="s">
        <v>70</v>
      </c>
      <c r="E27" s="53" t="s">
        <v>464</v>
      </c>
      <c r="F27" s="562">
        <v>15000000</v>
      </c>
      <c r="G27" s="562">
        <v>15000000</v>
      </c>
      <c r="H27" s="582">
        <v>1.4500000000000001E-2</v>
      </c>
      <c r="I27" s="562">
        <v>2437500</v>
      </c>
      <c r="J27" s="562">
        <f>G27-I27</f>
        <v>12562500</v>
      </c>
      <c r="K27" s="61" t="s">
        <v>325</v>
      </c>
      <c r="L27" s="56" t="s">
        <v>71</v>
      </c>
      <c r="M27" s="57" t="s">
        <v>57</v>
      </c>
      <c r="N27" s="49">
        <v>19600000</v>
      </c>
      <c r="O27" s="49">
        <v>19419334.870000001</v>
      </c>
      <c r="P27" s="67">
        <v>5.0000000000000001E-3</v>
      </c>
      <c r="Q27" s="49">
        <f>9716960.66852489+189584407.5/488.5+172026989.7/443.26+153375144/395.2+150045288.9/386.62</f>
        <v>11269340.668524889</v>
      </c>
      <c r="R27" s="49">
        <f>1129921.93024286+16077756.3/488.5+14096288.6/443.26+12233850.7/395.2+11546870.2/386.62</f>
        <v>1255458.1302620166</v>
      </c>
      <c r="S27" s="49">
        <f t="shared" si="1"/>
        <v>8149994.2014751118</v>
      </c>
      <c r="T27" s="58" t="s">
        <v>58</v>
      </c>
      <c r="U27" s="19"/>
    </row>
    <row r="28" spans="1:21" s="16" customFormat="1" ht="60" customHeight="1" outlineLevel="1" x14ac:dyDescent="0.25">
      <c r="A28" s="27">
        <v>14</v>
      </c>
      <c r="B28" s="54" t="s">
        <v>68</v>
      </c>
      <c r="C28" s="580"/>
      <c r="D28" s="551"/>
      <c r="E28" s="53" t="s">
        <v>464</v>
      </c>
      <c r="F28" s="562"/>
      <c r="G28" s="562"/>
      <c r="H28" s="582"/>
      <c r="I28" s="562"/>
      <c r="J28" s="562"/>
      <c r="K28" s="61" t="s">
        <v>326</v>
      </c>
      <c r="L28" s="56" t="s">
        <v>72</v>
      </c>
      <c r="M28" s="57" t="s">
        <v>57</v>
      </c>
      <c r="N28" s="49">
        <v>297276.53999999998</v>
      </c>
      <c r="O28" s="49">
        <v>297276.53999999998</v>
      </c>
      <c r="P28" s="60" t="s">
        <v>73</v>
      </c>
      <c r="Q28" s="49">
        <f>257638.543537781+4361667/440.15+3916234/395.2+3837157/387.22</f>
        <v>287367.04489083763</v>
      </c>
      <c r="R28" s="49">
        <f>229541.53251276+1912186/489.99+1556591/440.15+1259898/395.2+1094284/387.22</f>
        <v>242994.53549180552</v>
      </c>
      <c r="S28" s="49">
        <f t="shared" si="1"/>
        <v>9909.4951091623516</v>
      </c>
      <c r="T28" s="58" t="s">
        <v>58</v>
      </c>
      <c r="U28" s="19"/>
    </row>
    <row r="29" spans="1:21" s="16" customFormat="1" ht="51" customHeight="1" outlineLevel="1" x14ac:dyDescent="0.25">
      <c r="A29" s="27">
        <v>15</v>
      </c>
      <c r="B29" s="54" t="s">
        <v>68</v>
      </c>
      <c r="C29" s="579" t="s">
        <v>74</v>
      </c>
      <c r="D29" s="551" t="s">
        <v>75</v>
      </c>
      <c r="E29" s="563" t="s">
        <v>77</v>
      </c>
      <c r="F29" s="564">
        <f>5075000000+324000000</f>
        <v>5399000000</v>
      </c>
      <c r="G29" s="562">
        <f>5062807492+305504477</f>
        <v>5368311969</v>
      </c>
      <c r="H29" s="581" t="s">
        <v>465</v>
      </c>
      <c r="I29" s="562">
        <f>1729684492+71162477</f>
        <v>1800846969</v>
      </c>
      <c r="J29" s="562">
        <f>G29-I29</f>
        <v>3567465000</v>
      </c>
      <c r="K29" s="61" t="s">
        <v>327</v>
      </c>
      <c r="L29" s="56" t="s">
        <v>76</v>
      </c>
      <c r="M29" s="56" t="s">
        <v>77</v>
      </c>
      <c r="N29" s="49">
        <v>1571940173.3299999</v>
      </c>
      <c r="O29" s="49">
        <v>1598519063</v>
      </c>
      <c r="P29" s="67">
        <v>1.7999999999999999E-2</v>
      </c>
      <c r="Q29" s="49">
        <f>1030178646.5+123394332/3.026</f>
        <v>1070956680.8688037</v>
      </c>
      <c r="R29" s="49">
        <f>226837831.925937+13873556/3.026</f>
        <v>231422615.7990368</v>
      </c>
      <c r="S29" s="49">
        <f t="shared" si="1"/>
        <v>527562382.13119626</v>
      </c>
      <c r="T29" s="58" t="s">
        <v>58</v>
      </c>
      <c r="U29" s="19"/>
    </row>
    <row r="30" spans="1:21" s="16" customFormat="1" ht="41.25" customHeight="1" outlineLevel="1" x14ac:dyDescent="0.25">
      <c r="A30" s="27">
        <v>16</v>
      </c>
      <c r="B30" s="59" t="s">
        <v>78</v>
      </c>
      <c r="C30" s="579"/>
      <c r="D30" s="551"/>
      <c r="E30" s="563"/>
      <c r="F30" s="564"/>
      <c r="G30" s="562"/>
      <c r="H30" s="581"/>
      <c r="I30" s="562"/>
      <c r="J30" s="562"/>
      <c r="K30" s="61" t="s">
        <v>328</v>
      </c>
      <c r="L30" s="56" t="s">
        <v>76</v>
      </c>
      <c r="M30" s="56" t="s">
        <v>77</v>
      </c>
      <c r="N30" s="49">
        <v>3796371795.6700001</v>
      </c>
      <c r="O30" s="49">
        <v>3861444249</v>
      </c>
      <c r="P30" s="67">
        <v>1.7999999999999999E-2</v>
      </c>
      <c r="Q30" s="49">
        <f>2513837447.56+291897058.6/3.026</f>
        <v>2610300454.3676667</v>
      </c>
      <c r="R30" s="49">
        <f>553224853.256799+32762341/3.026</f>
        <v>564051800.05124712</v>
      </c>
      <c r="S30" s="49">
        <f t="shared" si="1"/>
        <v>1251143794.6323333</v>
      </c>
      <c r="T30" s="58" t="s">
        <v>58</v>
      </c>
      <c r="U30" s="19"/>
    </row>
    <row r="31" spans="1:21" s="16" customFormat="1" ht="33.75" customHeight="1" outlineLevel="1" x14ac:dyDescent="0.25">
      <c r="A31" s="547">
        <v>17</v>
      </c>
      <c r="B31" s="579" t="s">
        <v>79</v>
      </c>
      <c r="C31" s="580" t="s">
        <v>80</v>
      </c>
      <c r="D31" s="551" t="s">
        <v>70</v>
      </c>
      <c r="E31" s="563" t="s">
        <v>464</v>
      </c>
      <c r="F31" s="562">
        <v>10000000</v>
      </c>
      <c r="G31" s="562">
        <v>9972457.2400000002</v>
      </c>
      <c r="H31" s="582">
        <v>1.4500000000000001E-2</v>
      </c>
      <c r="I31" s="562">
        <v>0</v>
      </c>
      <c r="J31" s="562">
        <f>G31-I31</f>
        <v>9972457.2400000002</v>
      </c>
      <c r="K31" s="553" t="s">
        <v>329</v>
      </c>
      <c r="L31" s="551" t="s">
        <v>81</v>
      </c>
      <c r="M31" s="57" t="s">
        <v>57</v>
      </c>
      <c r="N31" s="49">
        <v>4846628.13</v>
      </c>
      <c r="O31" s="49">
        <v>4737831.22</v>
      </c>
      <c r="P31" s="60">
        <v>7.4999999999999997E-3</v>
      </c>
      <c r="Q31" s="49">
        <f>616176.07+18729201/386.44</f>
        <v>664642.06989649101</v>
      </c>
      <c r="R31" s="49">
        <f>353441.51+5923430/386.44</f>
        <v>368769.71101438778</v>
      </c>
      <c r="S31" s="49">
        <f t="shared" si="1"/>
        <v>4073189.1501035085</v>
      </c>
      <c r="T31" s="58" t="s">
        <v>82</v>
      </c>
      <c r="U31" s="19"/>
    </row>
    <row r="32" spans="1:21" s="16" customFormat="1" ht="41.25" customHeight="1" outlineLevel="1" x14ac:dyDescent="0.25">
      <c r="A32" s="547"/>
      <c r="B32" s="579"/>
      <c r="C32" s="580"/>
      <c r="D32" s="551"/>
      <c r="E32" s="563"/>
      <c r="F32" s="562"/>
      <c r="G32" s="562"/>
      <c r="H32" s="582"/>
      <c r="I32" s="562"/>
      <c r="J32" s="562"/>
      <c r="K32" s="553"/>
      <c r="L32" s="551"/>
      <c r="M32" s="56" t="s">
        <v>3</v>
      </c>
      <c r="N32" s="49">
        <v>1740568345.9000001</v>
      </c>
      <c r="O32" s="49">
        <v>1740568345.9000001</v>
      </c>
      <c r="P32" s="60">
        <v>7.4999999999999997E-3</v>
      </c>
      <c r="Q32" s="49">
        <f>247100359+17402579</f>
        <v>264502938</v>
      </c>
      <c r="R32" s="49">
        <f>128165336.87+5554115.8</f>
        <v>133719452.67</v>
      </c>
      <c r="S32" s="49">
        <f t="shared" si="1"/>
        <v>1476065407.9000001</v>
      </c>
      <c r="T32" s="58" t="s">
        <v>82</v>
      </c>
      <c r="U32" s="19"/>
    </row>
    <row r="33" spans="1:22" ht="87" customHeight="1" outlineLevel="1" x14ac:dyDescent="0.25">
      <c r="A33" s="27">
        <v>18</v>
      </c>
      <c r="B33" s="54" t="s">
        <v>83</v>
      </c>
      <c r="C33" s="59" t="s">
        <v>84</v>
      </c>
      <c r="D33" s="56" t="s">
        <v>33</v>
      </c>
      <c r="E33" s="53" t="s">
        <v>466</v>
      </c>
      <c r="F33" s="55">
        <f>12782297+5112919</f>
        <v>17895216</v>
      </c>
      <c r="G33" s="55">
        <f>12782297+5112919</f>
        <v>17895216</v>
      </c>
      <c r="H33" s="53"/>
      <c r="I33" s="52">
        <f>2687350+357904</f>
        <v>3045254</v>
      </c>
      <c r="J33" s="55">
        <f>G33-I33</f>
        <v>14849962</v>
      </c>
      <c r="K33" s="61" t="s">
        <v>330</v>
      </c>
      <c r="L33" s="61" t="s">
        <v>85</v>
      </c>
      <c r="M33" s="57" t="s">
        <v>35</v>
      </c>
      <c r="N33" s="68">
        <v>17895215.550000001</v>
      </c>
      <c r="O33" s="49">
        <v>17895215.550000001</v>
      </c>
      <c r="P33" s="60">
        <v>7.4999999999999997E-3</v>
      </c>
      <c r="Q33" s="49">
        <f>7748628.1+130294835.3/415.04</f>
        <v>8062561.2999325357</v>
      </c>
      <c r="R33" s="49">
        <f>2568161.28+12471869/415.04+3320320/414.34</f>
        <v>2606224.5954896617</v>
      </c>
      <c r="S33" s="49">
        <f t="shared" si="1"/>
        <v>9832654.250067465</v>
      </c>
      <c r="T33" s="58" t="s">
        <v>58</v>
      </c>
      <c r="U33" s="19"/>
      <c r="V33" s="16"/>
    </row>
    <row r="34" spans="1:22" ht="40.5" customHeight="1" outlineLevel="1" x14ac:dyDescent="0.25">
      <c r="A34" s="547">
        <v>19</v>
      </c>
      <c r="B34" s="565" t="s">
        <v>86</v>
      </c>
      <c r="C34" s="580" t="s">
        <v>87</v>
      </c>
      <c r="D34" s="580" t="s">
        <v>288</v>
      </c>
      <c r="E34" s="584" t="s">
        <v>35</v>
      </c>
      <c r="F34" s="69">
        <v>14500000</v>
      </c>
      <c r="G34" s="69"/>
      <c r="H34" s="59"/>
      <c r="I34" s="70"/>
      <c r="J34" s="69">
        <f>G34-I34</f>
        <v>0</v>
      </c>
      <c r="K34" s="580" t="s">
        <v>331</v>
      </c>
      <c r="L34" s="59" t="s">
        <v>88</v>
      </c>
      <c r="M34" s="57" t="s">
        <v>35</v>
      </c>
      <c r="N34" s="71">
        <v>22000000</v>
      </c>
      <c r="O34" s="49">
        <v>21247150.510000002</v>
      </c>
      <c r="P34" s="72" t="s">
        <v>89</v>
      </c>
      <c r="Q34" s="49">
        <f>1047000+1047000+1047000+1047000+1047000+1047000</f>
        <v>6282000</v>
      </c>
      <c r="R34" s="49">
        <v>1901527.4</v>
      </c>
      <c r="S34" s="48">
        <f>O34-Q34</f>
        <v>14965150.510000002</v>
      </c>
      <c r="T34" s="58" t="s">
        <v>90</v>
      </c>
      <c r="U34" s="19"/>
      <c r="V34" s="16"/>
    </row>
    <row r="35" spans="1:22" ht="31.5" customHeight="1" outlineLevel="1" x14ac:dyDescent="0.25">
      <c r="A35" s="547"/>
      <c r="B35" s="583"/>
      <c r="C35" s="580"/>
      <c r="D35" s="580"/>
      <c r="E35" s="584"/>
      <c r="F35" s="69">
        <v>14500000</v>
      </c>
      <c r="G35" s="69">
        <v>697853.84</v>
      </c>
      <c r="H35" s="59"/>
      <c r="I35" s="70"/>
      <c r="J35" s="69">
        <f>G35-I35</f>
        <v>697853.84</v>
      </c>
      <c r="K35" s="580"/>
      <c r="L35" s="59" t="s">
        <v>91</v>
      </c>
      <c r="M35" s="57" t="s">
        <v>35</v>
      </c>
      <c r="N35" s="71">
        <v>14500000</v>
      </c>
      <c r="O35" s="49">
        <v>14491281.059999999</v>
      </c>
      <c r="P35" s="72" t="s">
        <v>36</v>
      </c>
      <c r="Q35" s="49">
        <f>241000+241000+241000+241000+241000+241000</f>
        <v>1446000</v>
      </c>
      <c r="R35" s="49">
        <v>579706.23</v>
      </c>
      <c r="S35" s="48">
        <f>O35-Q35</f>
        <v>13045281.059999999</v>
      </c>
      <c r="T35" s="58" t="s">
        <v>90</v>
      </c>
      <c r="U35" s="19"/>
      <c r="V35" s="16"/>
    </row>
    <row r="36" spans="1:22" ht="42.75" customHeight="1" outlineLevel="1" x14ac:dyDescent="0.25">
      <c r="A36" s="547"/>
      <c r="B36" s="566"/>
      <c r="C36" s="580"/>
      <c r="D36" s="580"/>
      <c r="E36" s="584"/>
      <c r="F36" s="69">
        <v>22000000</v>
      </c>
      <c r="G36" s="69"/>
      <c r="H36" s="59"/>
      <c r="I36" s="70"/>
      <c r="J36" s="69">
        <f>G36-I36</f>
        <v>0</v>
      </c>
      <c r="K36" s="580"/>
      <c r="L36" s="59" t="s">
        <v>92</v>
      </c>
      <c r="M36" s="57" t="s">
        <v>35</v>
      </c>
      <c r="N36" s="71">
        <v>14500000</v>
      </c>
      <c r="O36" s="49">
        <v>14500000.000000002</v>
      </c>
      <c r="P36" s="72" t="s">
        <v>93</v>
      </c>
      <c r="Q36" s="49">
        <f>2519999.6+630000+630000</f>
        <v>3779999.6</v>
      </c>
      <c r="R36" s="49">
        <v>2115062.19</v>
      </c>
      <c r="S36" s="48">
        <f>O36-Q36</f>
        <v>10720000.400000002</v>
      </c>
      <c r="T36" s="58" t="s">
        <v>90</v>
      </c>
      <c r="U36" s="19"/>
      <c r="V36" s="16"/>
    </row>
    <row r="37" spans="1:22" ht="94.5" customHeight="1" outlineLevel="1" x14ac:dyDescent="0.25">
      <c r="A37" s="27">
        <v>20</v>
      </c>
      <c r="B37" s="59" t="s">
        <v>94</v>
      </c>
      <c r="C37" s="54" t="s">
        <v>95</v>
      </c>
      <c r="D37" s="56" t="s">
        <v>75</v>
      </c>
      <c r="E37" s="53" t="s">
        <v>77</v>
      </c>
      <c r="F37" s="73">
        <v>26409000000</v>
      </c>
      <c r="G37" s="55">
        <v>26399286331</v>
      </c>
      <c r="H37" s="72">
        <v>7.4999999999999997E-3</v>
      </c>
      <c r="I37" s="55">
        <v>432846331</v>
      </c>
      <c r="J37" s="69">
        <f>G37-I37</f>
        <v>25966440000</v>
      </c>
      <c r="K37" s="61" t="s">
        <v>332</v>
      </c>
      <c r="L37" s="56" t="s">
        <v>96</v>
      </c>
      <c r="M37" s="56" t="s">
        <v>77</v>
      </c>
      <c r="N37" s="73">
        <v>26409000000</v>
      </c>
      <c r="O37" s="49">
        <v>26399286331</v>
      </c>
      <c r="P37" s="60">
        <v>7.4999999999999997E-3</v>
      </c>
      <c r="Q37" s="49">
        <v>7357230331.1683521</v>
      </c>
      <c r="R37" s="49">
        <v>2607354309.0699525</v>
      </c>
      <c r="S37" s="55">
        <f t="shared" ref="S37:S46" si="2">O37-Q37</f>
        <v>19042055999.83165</v>
      </c>
      <c r="T37" s="58" t="s">
        <v>97</v>
      </c>
      <c r="U37" s="19"/>
      <c r="V37" s="16"/>
    </row>
    <row r="38" spans="1:22" ht="51.75" customHeight="1" outlineLevel="1" x14ac:dyDescent="0.25">
      <c r="A38" s="27">
        <v>21</v>
      </c>
      <c r="B38" s="54" t="s">
        <v>31</v>
      </c>
      <c r="C38" s="59" t="s">
        <v>98</v>
      </c>
      <c r="D38" s="59" t="s">
        <v>99</v>
      </c>
      <c r="E38" s="53"/>
      <c r="F38" s="53"/>
      <c r="G38" s="53"/>
      <c r="H38" s="53"/>
      <c r="I38" s="53"/>
      <c r="J38" s="53"/>
      <c r="K38" s="61" t="s">
        <v>333</v>
      </c>
      <c r="L38" s="56" t="s">
        <v>100</v>
      </c>
      <c r="M38" s="57" t="s">
        <v>57</v>
      </c>
      <c r="N38" s="49">
        <v>8988290</v>
      </c>
      <c r="O38" s="49">
        <v>8988290</v>
      </c>
      <c r="P38" s="67">
        <v>5.0000000000000001E-3</v>
      </c>
      <c r="Q38" s="49">
        <f>4199999.97+600000+600000+289644000/482.74+290820000/484.7+286458000/477.43+600000+600000+231939215.4/394.26</f>
        <v>8988289.9699999988</v>
      </c>
      <c r="R38" s="49">
        <f>838542.942447016+522591.6/394.26</f>
        <v>839868.44237092405</v>
      </c>
      <c r="S38" s="55">
        <f t="shared" si="2"/>
        <v>3.0000001192092896E-2</v>
      </c>
      <c r="T38" s="58" t="s">
        <v>82</v>
      </c>
      <c r="U38" s="19"/>
      <c r="V38" s="16"/>
    </row>
    <row r="39" spans="1:22" ht="63.75" customHeight="1" outlineLevel="1" x14ac:dyDescent="0.25">
      <c r="A39" s="27">
        <v>22</v>
      </c>
      <c r="B39" s="54" t="s">
        <v>101</v>
      </c>
      <c r="C39" s="59" t="s">
        <v>98</v>
      </c>
      <c r="D39" s="59" t="s">
        <v>102</v>
      </c>
      <c r="E39" s="53"/>
      <c r="F39" s="53"/>
      <c r="G39" s="53"/>
      <c r="H39" s="53"/>
      <c r="I39" s="53"/>
      <c r="J39" s="53"/>
      <c r="K39" s="74" t="s">
        <v>334</v>
      </c>
      <c r="L39" s="49" t="s">
        <v>103</v>
      </c>
      <c r="M39" s="69" t="s">
        <v>3</v>
      </c>
      <c r="N39" s="49">
        <v>1757100000</v>
      </c>
      <c r="O39" s="49">
        <v>1757100000</v>
      </c>
      <c r="P39" s="60">
        <v>7.4999999999999997E-3</v>
      </c>
      <c r="Q39" s="49">
        <f>439275000+62753571.5+62753571.5+62753571.3+62753571.4+62753571.4+62753571.4+62753571.5</f>
        <v>878549999.99999988</v>
      </c>
      <c r="R39" s="49">
        <f>303383430.5+3313904.4+3032802.7</f>
        <v>309730137.59999996</v>
      </c>
      <c r="S39" s="55">
        <f t="shared" si="2"/>
        <v>878550000.00000012</v>
      </c>
      <c r="T39" s="58" t="s">
        <v>82</v>
      </c>
      <c r="U39" s="19"/>
      <c r="V39" s="16"/>
    </row>
    <row r="40" spans="1:22" ht="63.75" customHeight="1" outlineLevel="1" x14ac:dyDescent="0.25">
      <c r="A40" s="75">
        <v>23</v>
      </c>
      <c r="B40" s="54" t="s">
        <v>101</v>
      </c>
      <c r="C40" s="76" t="s">
        <v>104</v>
      </c>
      <c r="D40" s="59"/>
      <c r="E40" s="53"/>
      <c r="F40" s="53"/>
      <c r="G40" s="53"/>
      <c r="H40" s="53"/>
      <c r="I40" s="53"/>
      <c r="J40" s="53"/>
      <c r="K40" s="74" t="s">
        <v>335</v>
      </c>
      <c r="L40" s="49" t="s">
        <v>105</v>
      </c>
      <c r="M40" s="69" t="s">
        <v>3</v>
      </c>
      <c r="N40" s="49">
        <v>18700000000</v>
      </c>
      <c r="O40" s="49">
        <v>18700000000</v>
      </c>
      <c r="P40" s="77">
        <v>7.4999999999999997E-2</v>
      </c>
      <c r="Q40" s="49">
        <f>890476190.5+890476190.5+890476190.5</f>
        <v>2671428571.5</v>
      </c>
      <c r="R40" s="49">
        <f>1333335616.4+703171232.9+699328767.1+670052837.5+632909002</f>
        <v>4038797455.9000001</v>
      </c>
      <c r="S40" s="55">
        <f t="shared" si="2"/>
        <v>16028571428.5</v>
      </c>
      <c r="T40" s="58" t="s">
        <v>82</v>
      </c>
      <c r="U40" s="19"/>
      <c r="V40" s="16"/>
    </row>
    <row r="41" spans="1:22" ht="63.75" customHeight="1" outlineLevel="1" x14ac:dyDescent="0.25">
      <c r="A41" s="75">
        <v>24</v>
      </c>
      <c r="B41" s="54" t="s">
        <v>101</v>
      </c>
      <c r="C41" s="76" t="s">
        <v>289</v>
      </c>
      <c r="D41" s="59"/>
      <c r="E41" s="53"/>
      <c r="F41" s="53"/>
      <c r="G41" s="53"/>
      <c r="H41" s="53"/>
      <c r="I41" s="53"/>
      <c r="J41" s="53"/>
      <c r="K41" s="78"/>
      <c r="L41" s="49" t="s">
        <v>272</v>
      </c>
      <c r="M41" s="69" t="s">
        <v>3</v>
      </c>
      <c r="N41" s="49">
        <v>25000000000</v>
      </c>
      <c r="O41" s="49">
        <v>25000000000</v>
      </c>
      <c r="P41" s="77">
        <v>0.09</v>
      </c>
      <c r="Q41" s="49">
        <f>1190476190.4</f>
        <v>1190476190.4000001</v>
      </c>
      <c r="R41" s="49">
        <f>1171232876.7+1121917808.3+1128082191.8+1121917808.2</f>
        <v>4543150685</v>
      </c>
      <c r="S41" s="55">
        <f t="shared" si="2"/>
        <v>23809523809.599998</v>
      </c>
      <c r="T41" s="58" t="s">
        <v>82</v>
      </c>
      <c r="U41" s="19"/>
      <c r="V41" s="16"/>
    </row>
    <row r="42" spans="1:22" ht="63.75" customHeight="1" outlineLevel="1" x14ac:dyDescent="0.25">
      <c r="A42" s="75">
        <v>25</v>
      </c>
      <c r="B42" s="54" t="s">
        <v>101</v>
      </c>
      <c r="C42" s="76" t="s">
        <v>275</v>
      </c>
      <c r="D42" s="59"/>
      <c r="E42" s="53"/>
      <c r="F42" s="53"/>
      <c r="G42" s="53"/>
      <c r="H42" s="53"/>
      <c r="I42" s="53"/>
      <c r="J42" s="53"/>
      <c r="K42" s="74" t="s">
        <v>336</v>
      </c>
      <c r="L42" s="49" t="s">
        <v>276</v>
      </c>
      <c r="M42" s="69" t="s">
        <v>3</v>
      </c>
      <c r="N42" s="49">
        <v>2242223800</v>
      </c>
      <c r="O42" s="49">
        <v>2242223800</v>
      </c>
      <c r="P42" s="79">
        <v>9.1240000000000002E-2</v>
      </c>
      <c r="Q42" s="49">
        <v>2242223800</v>
      </c>
      <c r="R42" s="49">
        <v>297062095</v>
      </c>
      <c r="S42" s="55">
        <f t="shared" si="2"/>
        <v>0</v>
      </c>
      <c r="T42" s="58" t="s">
        <v>82</v>
      </c>
      <c r="U42" s="19"/>
      <c r="V42" s="16"/>
    </row>
    <row r="43" spans="1:22" ht="57.75" customHeight="1" outlineLevel="1" x14ac:dyDescent="0.25">
      <c r="A43" s="556">
        <v>26</v>
      </c>
      <c r="B43" s="565" t="s">
        <v>101</v>
      </c>
      <c r="C43" s="557" t="s">
        <v>106</v>
      </c>
      <c r="D43" s="56" t="s">
        <v>107</v>
      </c>
      <c r="E43" s="57" t="s">
        <v>57</v>
      </c>
      <c r="F43" s="55">
        <v>270000000</v>
      </c>
      <c r="G43" s="80">
        <v>7766059.0499999998</v>
      </c>
      <c r="H43" s="53"/>
      <c r="I43" s="53"/>
      <c r="J43" s="53"/>
      <c r="K43" s="558" t="s">
        <v>337</v>
      </c>
      <c r="L43" s="600" t="s">
        <v>108</v>
      </c>
      <c r="M43" s="57" t="s">
        <v>57</v>
      </c>
      <c r="N43" s="65">
        <v>270000000</v>
      </c>
      <c r="O43" s="49">
        <v>173574580.28</v>
      </c>
      <c r="P43" s="602">
        <v>0.03</v>
      </c>
      <c r="Q43" s="49">
        <f>51199088.7002228+3370009369.8/394.93+3295429324.9/386.19</f>
        <v>68265451.600323498</v>
      </c>
      <c r="R43" s="49">
        <f>20309911.275649+723428666.7/394.93+646453366.1/386.19</f>
        <v>23815626.575622123</v>
      </c>
      <c r="S43" s="55">
        <f t="shared" si="2"/>
        <v>105309128.6796765</v>
      </c>
      <c r="T43" s="554" t="s">
        <v>90</v>
      </c>
      <c r="U43" s="19"/>
      <c r="V43" s="16"/>
    </row>
    <row r="44" spans="1:22" ht="57.75" customHeight="1" outlineLevel="1" x14ac:dyDescent="0.25">
      <c r="A44" s="546"/>
      <c r="B44" s="566"/>
      <c r="C44" s="549"/>
      <c r="D44" s="81"/>
      <c r="E44" s="82"/>
      <c r="F44" s="64"/>
      <c r="G44" s="83"/>
      <c r="H44" s="62"/>
      <c r="I44" s="62"/>
      <c r="J44" s="62"/>
      <c r="K44" s="552"/>
      <c r="L44" s="601"/>
      <c r="M44" s="69" t="s">
        <v>3</v>
      </c>
      <c r="N44" s="66">
        <v>1265847400</v>
      </c>
      <c r="O44" s="49">
        <f>9509488626+108542329</f>
        <v>9618030955</v>
      </c>
      <c r="P44" s="603"/>
      <c r="Q44" s="49">
        <f>2858334735.47632+482835444.3+482835444.2</f>
        <v>3824005623.9763198</v>
      </c>
      <c r="R44" s="49">
        <f>1045375895.11175+103648675.3+94716219.7</f>
        <v>1243740790.1117501</v>
      </c>
      <c r="S44" s="55">
        <f t="shared" si="2"/>
        <v>5794025331.0236797</v>
      </c>
      <c r="T44" s="555"/>
      <c r="U44" s="19"/>
      <c r="V44" s="16"/>
    </row>
    <row r="45" spans="1:22" ht="57.75" customHeight="1" outlineLevel="1" x14ac:dyDescent="0.25">
      <c r="A45" s="27">
        <v>27</v>
      </c>
      <c r="B45" s="54" t="s">
        <v>101</v>
      </c>
      <c r="C45" s="59" t="s">
        <v>109</v>
      </c>
      <c r="D45" s="56"/>
      <c r="E45" s="57"/>
      <c r="F45" s="55"/>
      <c r="G45" s="80"/>
      <c r="H45" s="53"/>
      <c r="I45" s="53"/>
      <c r="J45" s="53"/>
      <c r="K45" s="84" t="s">
        <v>338</v>
      </c>
      <c r="L45" s="48" t="s">
        <v>110</v>
      </c>
      <c r="M45" s="47" t="s">
        <v>57</v>
      </c>
      <c r="N45" s="65">
        <v>8907500</v>
      </c>
      <c r="O45" s="49">
        <v>8907384.7100000009</v>
      </c>
      <c r="P45" s="560" t="s">
        <v>388</v>
      </c>
      <c r="Q45" s="49"/>
      <c r="R45" s="49">
        <f>1241236.45+96159781.6/386.38</f>
        <v>1490110.05008282</v>
      </c>
      <c r="S45" s="85">
        <f t="shared" si="2"/>
        <v>8907384.7100000009</v>
      </c>
      <c r="T45" s="86" t="s">
        <v>111</v>
      </c>
      <c r="U45" s="19"/>
      <c r="V45" s="16"/>
    </row>
    <row r="46" spans="1:22" ht="78.75" customHeight="1" outlineLevel="1" thickBot="1" x14ac:dyDescent="0.3">
      <c r="A46" s="27">
        <v>28</v>
      </c>
      <c r="B46" s="87" t="s">
        <v>94</v>
      </c>
      <c r="C46" s="88" t="s">
        <v>109</v>
      </c>
      <c r="D46" s="89"/>
      <c r="E46" s="90"/>
      <c r="F46" s="85"/>
      <c r="G46" s="91"/>
      <c r="H46" s="92"/>
      <c r="I46" s="92"/>
      <c r="J46" s="92"/>
      <c r="K46" s="84" t="s">
        <v>339</v>
      </c>
      <c r="L46" s="93" t="s">
        <v>110</v>
      </c>
      <c r="M46" s="90" t="s">
        <v>57</v>
      </c>
      <c r="N46" s="94">
        <v>21092500</v>
      </c>
      <c r="O46" s="49">
        <v>21092210.790000003</v>
      </c>
      <c r="P46" s="589"/>
      <c r="Q46" s="49"/>
      <c r="R46" s="49">
        <f>3081286.01+227668040/386.38</f>
        <v>3670519.5106987935</v>
      </c>
      <c r="S46" s="64">
        <f t="shared" si="2"/>
        <v>21092210.790000003</v>
      </c>
      <c r="T46" s="86" t="s">
        <v>112</v>
      </c>
      <c r="U46" s="19"/>
    </row>
    <row r="47" spans="1:22" s="20" customFormat="1" ht="15" customHeight="1" x14ac:dyDescent="0.25">
      <c r="A47" s="590" t="s">
        <v>121</v>
      </c>
      <c r="B47" s="591"/>
      <c r="C47" s="591"/>
      <c r="D47" s="594" t="s">
        <v>35</v>
      </c>
      <c r="E47" s="594"/>
      <c r="F47" s="594"/>
      <c r="G47" s="594"/>
      <c r="H47" s="594"/>
      <c r="I47" s="594"/>
      <c r="J47" s="594"/>
      <c r="K47" s="594"/>
      <c r="L47" s="594"/>
      <c r="M47" s="95"/>
      <c r="N47" s="21">
        <f>SUMIF($M$5:$M$46,D47,$N$5:$N$46)</f>
        <v>275755742.28000003</v>
      </c>
      <c r="O47" s="21">
        <f>SUMIF($M$5:$M$46,D47,$O$5:$O$46)</f>
        <v>97929055.540000007</v>
      </c>
      <c r="P47" s="21"/>
      <c r="Q47" s="21">
        <f>SUMIF($M$5:$M$46,D47,$Q$5:$Q$46)</f>
        <v>34129148.739822738</v>
      </c>
      <c r="R47" s="21">
        <f>SUMIF($M$5:$M$46,D47,$R$5:$R$46)</f>
        <v>15458404.88751778</v>
      </c>
      <c r="S47" s="21">
        <f>SUMIF($M$5:$M$46,D47,$S$5:$S$46)</f>
        <v>63799906.800177261</v>
      </c>
      <c r="T47" s="96"/>
      <c r="U47" s="19"/>
    </row>
    <row r="48" spans="1:22" s="20" customFormat="1" ht="15" customHeight="1" x14ac:dyDescent="0.25">
      <c r="A48" s="592"/>
      <c r="B48" s="593"/>
      <c r="C48" s="593"/>
      <c r="D48" s="595" t="s">
        <v>3</v>
      </c>
      <c r="E48" s="595"/>
      <c r="F48" s="595"/>
      <c r="G48" s="595"/>
      <c r="H48" s="595"/>
      <c r="I48" s="595"/>
      <c r="J48" s="595"/>
      <c r="K48" s="595"/>
      <c r="L48" s="595"/>
      <c r="M48" s="97"/>
      <c r="N48" s="22">
        <f>SUMIF($M$5:$M$46,D48,$N$5:$N$46)</f>
        <v>50705739545.900002</v>
      </c>
      <c r="O48" s="22">
        <f>SUMIF($M$5:$M$46,D48,$O$5:$O$46)</f>
        <v>69404899935.899994</v>
      </c>
      <c r="P48" s="22"/>
      <c r="Q48" s="22">
        <f>SUMIF($M$5:$M$46,D48,$Q$5:$Q$46)</f>
        <v>12055392998.076321</v>
      </c>
      <c r="R48" s="22">
        <f>SUMIF($M$5:$M$46,D48,$R$5:$R$46)</f>
        <v>12261569191.521749</v>
      </c>
      <c r="S48" s="22">
        <f>SUMIF($M$5:$M$46,D48,$S$5:$S$46)</f>
        <v>57349506937.823685</v>
      </c>
      <c r="T48" s="98"/>
      <c r="U48" s="19"/>
    </row>
    <row r="49" spans="1:21" s="20" customFormat="1" ht="15" customHeight="1" x14ac:dyDescent="0.25">
      <c r="A49" s="592"/>
      <c r="B49" s="593"/>
      <c r="C49" s="593"/>
      <c r="D49" s="595" t="s">
        <v>57</v>
      </c>
      <c r="E49" s="595"/>
      <c r="F49" s="595"/>
      <c r="G49" s="595"/>
      <c r="H49" s="595"/>
      <c r="I49" s="595"/>
      <c r="J49" s="595"/>
      <c r="K49" s="595"/>
      <c r="L49" s="595"/>
      <c r="M49" s="97"/>
      <c r="N49" s="22">
        <f>SUMIF($M$5:$M$46,D49,$N$5:$N$46)</f>
        <v>443654882.94000006</v>
      </c>
      <c r="O49" s="22">
        <f>SUMIF($M$5:$M$46,D49,$O$5:$O$46)</f>
        <v>322677704.62</v>
      </c>
      <c r="P49" s="22"/>
      <c r="Q49" s="22">
        <f>SUMIF($M$5:$M$46,D49,$Q$5:$Q$46)</f>
        <v>94017169.353545114</v>
      </c>
      <c r="R49" s="22">
        <f>SUMIF($M$5:$M$46,D49,$R$5:$R$46)</f>
        <v>46487234.68993111</v>
      </c>
      <c r="S49" s="22">
        <f>SUMIF($M$5:$M$46,D49,$S$5:$S$46)</f>
        <v>228660535.26645488</v>
      </c>
      <c r="T49" s="98"/>
      <c r="U49" s="19"/>
    </row>
    <row r="50" spans="1:21" s="20" customFormat="1" ht="15" customHeight="1" x14ac:dyDescent="0.25">
      <c r="A50" s="592"/>
      <c r="B50" s="593"/>
      <c r="C50" s="593"/>
      <c r="D50" s="596" t="s">
        <v>77</v>
      </c>
      <c r="E50" s="596"/>
      <c r="F50" s="596"/>
      <c r="G50" s="596"/>
      <c r="H50" s="596"/>
      <c r="I50" s="596"/>
      <c r="J50" s="596"/>
      <c r="K50" s="596"/>
      <c r="L50" s="596"/>
      <c r="M50" s="99"/>
      <c r="N50" s="100">
        <f>SUMIF($M$5:$M$46,D50,$N$5:$N$46)</f>
        <v>31777311969</v>
      </c>
      <c r="O50" s="100">
        <f>SUMIF($M$5:$M$46,D50,$O$5:$O$46)</f>
        <v>31859249643</v>
      </c>
      <c r="P50" s="100"/>
      <c r="Q50" s="100">
        <f>SUMIF($M$5:$M$46,D50,$Q$5:$Q$46)</f>
        <v>11038487466.404823</v>
      </c>
      <c r="R50" s="100">
        <f>SUMIF($M$5:$M$46,D50,$R$5:$R$46)</f>
        <v>3402828724.9202366</v>
      </c>
      <c r="S50" s="100">
        <f>SUMIF($M$5:$M$46,D50,$S$5:$S$46)</f>
        <v>20820762176.595181</v>
      </c>
      <c r="T50" s="101"/>
      <c r="U50" s="19"/>
    </row>
    <row r="51" spans="1:21" s="20" customFormat="1" ht="15" customHeight="1" thickBot="1" x14ac:dyDescent="0.3">
      <c r="A51" s="592"/>
      <c r="B51" s="593"/>
      <c r="C51" s="593"/>
      <c r="D51" s="597" t="s">
        <v>67</v>
      </c>
      <c r="E51" s="598"/>
      <c r="F51" s="598"/>
      <c r="G51" s="598"/>
      <c r="H51" s="598"/>
      <c r="I51" s="598"/>
      <c r="J51" s="598"/>
      <c r="K51" s="598"/>
      <c r="L51" s="599"/>
      <c r="M51" s="102"/>
      <c r="N51" s="23">
        <f>SUMIF($M$5:$M$46,D51,$N$5:$N$46)</f>
        <v>24086688</v>
      </c>
      <c r="O51" s="23">
        <f>SUMIF($M$5:$M$46,D51,$O$5:$O$46)</f>
        <v>18384172.012149811</v>
      </c>
      <c r="P51" s="23"/>
      <c r="Q51" s="23">
        <f>SUMIF($M$5:$M$46,D51,$Q$5:$Q$46)</f>
        <v>3421726.801663748</v>
      </c>
      <c r="R51" s="23">
        <f>SUMIF($M$5:$M$46,D51,$R$5:$R$46)</f>
        <v>2452783.2591014383</v>
      </c>
      <c r="S51" s="23">
        <f>SUMIF($M$5:$M$46,D51,$S$5:$S$46)</f>
        <v>14962445.210486062</v>
      </c>
      <c r="T51" s="103"/>
      <c r="U51" s="19"/>
    </row>
    <row r="52" spans="1:21" ht="78" customHeight="1" outlineLevel="1" x14ac:dyDescent="0.25">
      <c r="A52" s="104">
        <v>29</v>
      </c>
      <c r="B52" s="44" t="s">
        <v>122</v>
      </c>
      <c r="C52" s="87" t="s">
        <v>123</v>
      </c>
      <c r="D52" s="46" t="s">
        <v>124</v>
      </c>
      <c r="E52" s="47" t="s">
        <v>35</v>
      </c>
      <c r="F52" s="45">
        <v>5000000</v>
      </c>
      <c r="G52" s="45">
        <v>5000000</v>
      </c>
      <c r="H52" s="105" t="s">
        <v>126</v>
      </c>
      <c r="I52" s="42">
        <v>1041667</v>
      </c>
      <c r="J52" s="45">
        <f>G52-I52</f>
        <v>3958333</v>
      </c>
      <c r="K52" s="84" t="s">
        <v>340</v>
      </c>
      <c r="L52" s="84" t="s">
        <v>125</v>
      </c>
      <c r="M52" s="47" t="s">
        <v>35</v>
      </c>
      <c r="N52" s="48">
        <v>5000000</v>
      </c>
      <c r="O52" s="48">
        <v>5000000</v>
      </c>
      <c r="P52" s="105" t="s">
        <v>126</v>
      </c>
      <c r="Q52" s="48">
        <f>4166666.69+208333.33</f>
        <v>4375000.0199999996</v>
      </c>
      <c r="R52" s="48">
        <v>553011.29</v>
      </c>
      <c r="S52" s="48">
        <f t="shared" ref="S52:S57" si="3">O52-Q52</f>
        <v>624999.98000000045</v>
      </c>
      <c r="T52" s="50" t="s">
        <v>82</v>
      </c>
    </row>
    <row r="53" spans="1:21" ht="71.25" customHeight="1" outlineLevel="1" x14ac:dyDescent="0.25">
      <c r="A53" s="75">
        <v>30</v>
      </c>
      <c r="B53" s="565" t="s">
        <v>127</v>
      </c>
      <c r="C53" s="76" t="s">
        <v>128</v>
      </c>
      <c r="D53" s="81" t="s">
        <v>124</v>
      </c>
      <c r="E53" s="57" t="s">
        <v>35</v>
      </c>
      <c r="F53" s="55">
        <v>5000000</v>
      </c>
      <c r="G53" s="55">
        <f>3302053.81+58000+43500</f>
        <v>3403553.81</v>
      </c>
      <c r="H53" s="60" t="s">
        <v>126</v>
      </c>
      <c r="I53" s="55">
        <v>0</v>
      </c>
      <c r="J53" s="55">
        <f>G53-I53</f>
        <v>3403553.81</v>
      </c>
      <c r="K53" s="106" t="s">
        <v>341</v>
      </c>
      <c r="L53" s="106" t="s">
        <v>129</v>
      </c>
      <c r="M53" s="57" t="s">
        <v>35</v>
      </c>
      <c r="N53" s="49">
        <v>5000000</v>
      </c>
      <c r="O53" s="49">
        <v>5000000</v>
      </c>
      <c r="P53" s="77" t="s">
        <v>126</v>
      </c>
      <c r="Q53" s="49">
        <f>3125000+208333.33</f>
        <v>3333333.33</v>
      </c>
      <c r="R53" s="49">
        <v>320254.8</v>
      </c>
      <c r="S53" s="49">
        <f t="shared" si="3"/>
        <v>1666666.67</v>
      </c>
      <c r="T53" s="554" t="s">
        <v>82</v>
      </c>
    </row>
    <row r="54" spans="1:21" ht="71.25" customHeight="1" outlineLevel="1" x14ac:dyDescent="0.25">
      <c r="A54" s="75">
        <v>31</v>
      </c>
      <c r="B54" s="566"/>
      <c r="C54" s="76"/>
      <c r="D54" s="81"/>
      <c r="E54" s="57"/>
      <c r="F54" s="55"/>
      <c r="G54" s="55"/>
      <c r="H54" s="60"/>
      <c r="I54" s="55"/>
      <c r="J54" s="55"/>
      <c r="K54" s="106"/>
      <c r="L54" s="106"/>
      <c r="M54" s="82" t="s">
        <v>3</v>
      </c>
      <c r="N54" s="49"/>
      <c r="O54" s="49">
        <v>66094595</v>
      </c>
      <c r="P54" s="77"/>
      <c r="Q54" s="49">
        <f>6609471.44+6609433.4</f>
        <v>13218904.84</v>
      </c>
      <c r="R54" s="49">
        <v>1088882.5977352946</v>
      </c>
      <c r="S54" s="49">
        <f t="shared" si="3"/>
        <v>52875690.159999996</v>
      </c>
      <c r="T54" s="555"/>
    </row>
    <row r="55" spans="1:21" ht="55.5" customHeight="1" outlineLevel="1" x14ac:dyDescent="0.25">
      <c r="A55" s="27">
        <v>32</v>
      </c>
      <c r="B55" s="54" t="s">
        <v>130</v>
      </c>
      <c r="C55" s="59" t="s">
        <v>131</v>
      </c>
      <c r="D55" s="56" t="s">
        <v>132</v>
      </c>
      <c r="E55" s="57" t="s">
        <v>35</v>
      </c>
      <c r="F55" s="55">
        <v>5000000</v>
      </c>
      <c r="G55" s="55">
        <v>5000000</v>
      </c>
      <c r="H55" s="60" t="s">
        <v>467</v>
      </c>
      <c r="I55" s="52"/>
      <c r="J55" s="55">
        <f>G55-I55</f>
        <v>5000000</v>
      </c>
      <c r="K55" s="61" t="s">
        <v>342</v>
      </c>
      <c r="L55" s="61" t="s">
        <v>133</v>
      </c>
      <c r="M55" s="57" t="s">
        <v>35</v>
      </c>
      <c r="N55" s="49">
        <v>5000000</v>
      </c>
      <c r="O55" s="49">
        <v>5000000</v>
      </c>
      <c r="P55" s="60" t="s">
        <v>126</v>
      </c>
      <c r="Q55" s="49">
        <f>3227272.74+97124988.4/427.35</f>
        <v>3454545.4401287003</v>
      </c>
      <c r="R55" s="49">
        <f>'[2]Hashvark 03.05.11'!$M$87+'[2]Hashvark 03.05.11'!$T$87</f>
        <v>475298.33641151118</v>
      </c>
      <c r="S55" s="49">
        <f t="shared" si="3"/>
        <v>1545454.5598712997</v>
      </c>
      <c r="T55" s="58" t="s">
        <v>82</v>
      </c>
    </row>
    <row r="56" spans="1:21" ht="57" customHeight="1" outlineLevel="1" x14ac:dyDescent="0.25">
      <c r="A56" s="556">
        <v>33</v>
      </c>
      <c r="B56" s="565" t="s">
        <v>134</v>
      </c>
      <c r="C56" s="557" t="s">
        <v>135</v>
      </c>
      <c r="D56" s="81" t="s">
        <v>132</v>
      </c>
      <c r="E56" s="82" t="s">
        <v>35</v>
      </c>
      <c r="F56" s="64">
        <v>5000000</v>
      </c>
      <c r="G56" s="64">
        <v>2000000</v>
      </c>
      <c r="H56" s="77" t="s">
        <v>468</v>
      </c>
      <c r="I56" s="64">
        <v>0</v>
      </c>
      <c r="J56" s="64">
        <f>G56-I56</f>
        <v>2000000</v>
      </c>
      <c r="K56" s="106" t="s">
        <v>343</v>
      </c>
      <c r="L56" s="106" t="s">
        <v>136</v>
      </c>
      <c r="M56" s="82" t="s">
        <v>35</v>
      </c>
      <c r="N56" s="107">
        <v>5000000</v>
      </c>
      <c r="O56" s="49">
        <v>3000000</v>
      </c>
      <c r="P56" s="79" t="s">
        <v>290</v>
      </c>
      <c r="Q56" s="49">
        <v>676724.13793103443</v>
      </c>
      <c r="R56" s="49">
        <v>222742.90472119639</v>
      </c>
      <c r="S56" s="107">
        <f t="shared" si="3"/>
        <v>2323275.8620689656</v>
      </c>
      <c r="T56" s="554" t="s">
        <v>82</v>
      </c>
    </row>
    <row r="57" spans="1:21" ht="57" customHeight="1" outlineLevel="1" thickBot="1" x14ac:dyDescent="0.3">
      <c r="A57" s="585"/>
      <c r="B57" s="586"/>
      <c r="C57" s="587"/>
      <c r="D57" s="81" t="s">
        <v>132</v>
      </c>
      <c r="E57" s="82" t="s">
        <v>35</v>
      </c>
      <c r="F57" s="64">
        <v>5000000</v>
      </c>
      <c r="G57" s="64">
        <v>2000000</v>
      </c>
      <c r="H57" s="77" t="s">
        <v>468</v>
      </c>
      <c r="I57" s="64">
        <v>0</v>
      </c>
      <c r="J57" s="64">
        <f>G57-I57</f>
        <v>2000000</v>
      </c>
      <c r="K57" s="106" t="s">
        <v>343</v>
      </c>
      <c r="L57" s="106" t="s">
        <v>273</v>
      </c>
      <c r="M57" s="82" t="s">
        <v>3</v>
      </c>
      <c r="N57" s="107"/>
      <c r="O57" s="49">
        <v>69055257.109999999</v>
      </c>
      <c r="P57" s="79">
        <v>1.404E-2</v>
      </c>
      <c r="Q57" s="49">
        <v>9751561.9283781946</v>
      </c>
      <c r="R57" s="49">
        <v>1328413.7934904536</v>
      </c>
      <c r="S57" s="107">
        <f t="shared" si="3"/>
        <v>59303695.181621805</v>
      </c>
      <c r="T57" s="588"/>
    </row>
    <row r="58" spans="1:21" s="20" customFormat="1" ht="15" customHeight="1" x14ac:dyDescent="0.25">
      <c r="A58" s="590" t="s">
        <v>137</v>
      </c>
      <c r="B58" s="591"/>
      <c r="C58" s="591"/>
      <c r="D58" s="594" t="s">
        <v>35</v>
      </c>
      <c r="E58" s="594"/>
      <c r="F58" s="594"/>
      <c r="G58" s="594"/>
      <c r="H58" s="594"/>
      <c r="I58" s="594"/>
      <c r="J58" s="594"/>
      <c r="K58" s="594"/>
      <c r="L58" s="594"/>
      <c r="M58" s="95"/>
      <c r="N58" s="21">
        <f>SUMIF($M$52:$M$57,D58,$N$52:$N$57)</f>
        <v>20000000</v>
      </c>
      <c r="O58" s="21">
        <f>SUMIF($M$52:$M$57,D58,$O$52:$O$57)</f>
        <v>18000000</v>
      </c>
      <c r="P58" s="24"/>
      <c r="Q58" s="21">
        <f>SUMIF($M$52:$M$57,D58,$Q$52:$Q$57)</f>
        <v>11839602.928059734</v>
      </c>
      <c r="R58" s="21">
        <f>SUMIF($M$52:$M$57,D58,$R$52:$R$57)</f>
        <v>1571307.3311327077</v>
      </c>
      <c r="S58" s="21">
        <f>SUMIF($M$52:$M$57,D58,$S$52:$S$57)</f>
        <v>6160397.0719402656</v>
      </c>
      <c r="T58" s="96"/>
      <c r="U58" s="19"/>
    </row>
    <row r="59" spans="1:21" s="20" customFormat="1" ht="15" customHeight="1" x14ac:dyDescent="0.25">
      <c r="A59" s="592"/>
      <c r="B59" s="593"/>
      <c r="C59" s="593"/>
      <c r="D59" s="595" t="s">
        <v>3</v>
      </c>
      <c r="E59" s="595"/>
      <c r="F59" s="595"/>
      <c r="G59" s="595"/>
      <c r="H59" s="595"/>
      <c r="I59" s="595"/>
      <c r="J59" s="595"/>
      <c r="K59" s="595"/>
      <c r="L59" s="595"/>
      <c r="M59" s="97"/>
      <c r="N59" s="22">
        <f>SUMIF($M$52:$M$57,D59,$N$52:$N$57)</f>
        <v>0</v>
      </c>
      <c r="O59" s="22">
        <f>SUMIF($M$52:$M$57,D59,$O$52:$O$57)</f>
        <v>135149852.11000001</v>
      </c>
      <c r="P59" s="22"/>
      <c r="Q59" s="22">
        <f>SUMIF($M$52:$M$57,D59,$Q$52:$Q$57)</f>
        <v>22970466.768378194</v>
      </c>
      <c r="R59" s="22">
        <f>SUMIF($M$52:$M$57,D59,$R$52:$R$57)</f>
        <v>2417296.3912257482</v>
      </c>
      <c r="S59" s="22">
        <f>SUMIF($M$52:$M$57,D59,$S$52:$S$57)</f>
        <v>112179385.3416218</v>
      </c>
      <c r="T59" s="98"/>
      <c r="U59" s="19"/>
    </row>
    <row r="60" spans="1:21" s="20" customFormat="1" ht="15" customHeight="1" x14ac:dyDescent="0.25">
      <c r="A60" s="592"/>
      <c r="B60" s="593"/>
      <c r="C60" s="593"/>
      <c r="D60" s="595" t="s">
        <v>57</v>
      </c>
      <c r="E60" s="595"/>
      <c r="F60" s="595"/>
      <c r="G60" s="595"/>
      <c r="H60" s="595"/>
      <c r="I60" s="595"/>
      <c r="J60" s="595"/>
      <c r="K60" s="595"/>
      <c r="L60" s="595"/>
      <c r="M60" s="97"/>
      <c r="N60" s="22">
        <f>SUMIF($M$52:$M$57,D60,$N$52:$N$57)</f>
        <v>0</v>
      </c>
      <c r="O60" s="22">
        <f>SUMIF($M$52:$M$57,D60,$O$52:$O$57)</f>
        <v>0</v>
      </c>
      <c r="P60" s="22"/>
      <c r="Q60" s="22">
        <f>SUMIF($M$52:$M$57,D60,$Q$52:$Q$57)</f>
        <v>0</v>
      </c>
      <c r="R60" s="22">
        <f>SUMIF($M$52:$M$57,D60,$R$52:$R$57)</f>
        <v>0</v>
      </c>
      <c r="S60" s="22">
        <f>SUMIF($M$52:$M$57,D60,$S$52:$S$57)</f>
        <v>0</v>
      </c>
      <c r="T60" s="98"/>
      <c r="U60" s="19"/>
    </row>
    <row r="61" spans="1:21" s="20" customFormat="1" ht="15" customHeight="1" thickBot="1" x14ac:dyDescent="0.3">
      <c r="A61" s="604"/>
      <c r="B61" s="605"/>
      <c r="C61" s="605"/>
      <c r="D61" s="606" t="s">
        <v>77</v>
      </c>
      <c r="E61" s="606"/>
      <c r="F61" s="606"/>
      <c r="G61" s="606"/>
      <c r="H61" s="606"/>
      <c r="I61" s="606"/>
      <c r="J61" s="606"/>
      <c r="K61" s="606"/>
      <c r="L61" s="606"/>
      <c r="M61" s="102"/>
      <c r="N61" s="23">
        <f>SUMIF($M$52:$M$57,D61,$N$52:$N$57)</f>
        <v>0</v>
      </c>
      <c r="O61" s="23">
        <f>SUMIF($M$52:$M$57,D61,$O$52:$O$57)</f>
        <v>0</v>
      </c>
      <c r="P61" s="23"/>
      <c r="Q61" s="23">
        <f>SUMIF($M$52:$M$57,D61,$Q$52:$Q$57)</f>
        <v>0</v>
      </c>
      <c r="R61" s="23">
        <f>SUMIF($M$52:$M$57,D61,$R$52:$R$57)</f>
        <v>0</v>
      </c>
      <c r="S61" s="23">
        <f>SUMIF($M$52:$M$57,D61,$S$52:$S$57)</f>
        <v>0</v>
      </c>
      <c r="T61" s="103"/>
      <c r="U61" s="19"/>
    </row>
    <row r="62" spans="1:21" s="13" customFormat="1" ht="91.5" customHeight="1" outlineLevel="1" x14ac:dyDescent="0.25">
      <c r="A62" s="27">
        <v>34</v>
      </c>
      <c r="B62" s="59" t="s">
        <v>138</v>
      </c>
      <c r="C62" s="59" t="s">
        <v>139</v>
      </c>
      <c r="D62" s="59" t="s">
        <v>107</v>
      </c>
      <c r="E62" s="59"/>
      <c r="F62" s="59"/>
      <c r="G62" s="59"/>
      <c r="H62" s="59"/>
      <c r="I62" s="59"/>
      <c r="J62" s="59"/>
      <c r="K62" s="108" t="s">
        <v>344</v>
      </c>
      <c r="L62" s="59" t="s">
        <v>140</v>
      </c>
      <c r="M62" s="59" t="s">
        <v>3</v>
      </c>
      <c r="N62" s="49">
        <v>74000000000</v>
      </c>
      <c r="O62" s="49">
        <v>74000000000</v>
      </c>
      <c r="P62" s="60" t="s">
        <v>141</v>
      </c>
      <c r="Q62" s="49">
        <f>38761904762.2+1761904761.9+1761904761.9+1761904761.9+1761904761.9+1761904761.9+1761904761.9+1761904761.9+1761904761.9+1761904761.9+1761904761.9+1761904761.9+1761904761.9+1761904761.9+1761904761.9</f>
        <v>63428571428.800018</v>
      </c>
      <c r="R62" s="49">
        <f>27000442621.6+339655076+452522803+1282602.5+1775075.4+2158135.7+3391292+3227331.6+129991976+1018964.4</f>
        <v>27935465878.200001</v>
      </c>
      <c r="S62" s="55">
        <f>O62-Q62</f>
        <v>10571428571.199982</v>
      </c>
      <c r="T62" s="58" t="s">
        <v>82</v>
      </c>
      <c r="U62" s="12"/>
    </row>
    <row r="63" spans="1:21" s="13" customFormat="1" ht="91.5" customHeight="1" outlineLevel="1" x14ac:dyDescent="0.25">
      <c r="A63" s="27">
        <v>35</v>
      </c>
      <c r="B63" s="59" t="s">
        <v>138</v>
      </c>
      <c r="C63" s="59" t="s">
        <v>142</v>
      </c>
      <c r="D63" s="59" t="s">
        <v>291</v>
      </c>
      <c r="E63" s="59"/>
      <c r="F63" s="59"/>
      <c r="G63" s="59"/>
      <c r="H63" s="59"/>
      <c r="I63" s="59"/>
      <c r="J63" s="59"/>
      <c r="K63" s="108" t="s">
        <v>345</v>
      </c>
      <c r="L63" s="59" t="s">
        <v>143</v>
      </c>
      <c r="M63" s="59" t="s">
        <v>3</v>
      </c>
      <c r="N63" s="49">
        <v>2035890300</v>
      </c>
      <c r="O63" s="49">
        <v>2035890300</v>
      </c>
      <c r="P63" s="60" t="s">
        <v>50</v>
      </c>
      <c r="Q63" s="49">
        <v>0</v>
      </c>
      <c r="R63" s="49">
        <v>0</v>
      </c>
      <c r="S63" s="55">
        <f t="shared" ref="S63:S68" si="4">O63-Q63</f>
        <v>2035890300</v>
      </c>
      <c r="T63" s="58" t="s">
        <v>82</v>
      </c>
      <c r="U63" s="12"/>
    </row>
    <row r="64" spans="1:21" ht="121.5" outlineLevel="1" x14ac:dyDescent="0.25">
      <c r="A64" s="104">
        <v>36</v>
      </c>
      <c r="B64" s="54" t="s">
        <v>144</v>
      </c>
      <c r="C64" s="59" t="s">
        <v>145</v>
      </c>
      <c r="D64" s="56" t="s">
        <v>33</v>
      </c>
      <c r="E64" s="57" t="s">
        <v>35</v>
      </c>
      <c r="F64" s="55">
        <v>3500000</v>
      </c>
      <c r="G64" s="55">
        <v>3500000</v>
      </c>
      <c r="H64" s="60">
        <v>7.4999999999999997E-3</v>
      </c>
      <c r="I64" s="52">
        <v>0</v>
      </c>
      <c r="J64" s="55">
        <f>G64-I64</f>
        <v>3500000</v>
      </c>
      <c r="K64" s="61" t="s">
        <v>346</v>
      </c>
      <c r="L64" s="56" t="s">
        <v>146</v>
      </c>
      <c r="M64" s="57" t="s">
        <v>35</v>
      </c>
      <c r="N64" s="49">
        <v>3500000</v>
      </c>
      <c r="O64" s="49">
        <v>3500000</v>
      </c>
      <c r="P64" s="60">
        <v>7.4999999999999997E-3</v>
      </c>
      <c r="Q64" s="49">
        <f>696000+31440060/542.07+58000+24255020/418.19+24400600/420.7</f>
        <v>928000</v>
      </c>
      <c r="R64" s="49">
        <f>399592.922231146+10515+10297.5+4215355.2/418.19+4149153.8/420.7</f>
        <v>440347.92234999558</v>
      </c>
      <c r="S64" s="55">
        <f t="shared" si="4"/>
        <v>2572000</v>
      </c>
      <c r="T64" s="58" t="s">
        <v>82</v>
      </c>
    </row>
    <row r="65" spans="1:21" ht="69" customHeight="1" outlineLevel="1" x14ac:dyDescent="0.25">
      <c r="A65" s="27">
        <v>37</v>
      </c>
      <c r="B65" s="54" t="s">
        <v>147</v>
      </c>
      <c r="C65" s="59" t="s">
        <v>148</v>
      </c>
      <c r="D65" s="59" t="s">
        <v>149</v>
      </c>
      <c r="E65" s="53" t="s">
        <v>463</v>
      </c>
      <c r="F65" s="80">
        <v>1173750</v>
      </c>
      <c r="G65" s="80">
        <v>1109413</v>
      </c>
      <c r="H65" s="72"/>
      <c r="I65" s="80"/>
      <c r="J65" s="80"/>
      <c r="K65" s="53" t="s">
        <v>347</v>
      </c>
      <c r="L65" s="56" t="s">
        <v>150</v>
      </c>
      <c r="M65" s="57" t="s">
        <v>57</v>
      </c>
      <c r="N65" s="55">
        <v>1689937.9</v>
      </c>
      <c r="O65" s="49">
        <v>1689937.9</v>
      </c>
      <c r="P65" s="72">
        <v>5.9900000000000002E-2</v>
      </c>
      <c r="Q65" s="49">
        <f>872805.23+28165</f>
        <v>900970.23</v>
      </c>
      <c r="R65" s="49">
        <f>1964862.47+25588.58</f>
        <v>1990451.05</v>
      </c>
      <c r="S65" s="55">
        <f t="shared" si="4"/>
        <v>788967.66999999993</v>
      </c>
      <c r="T65" s="109" t="s">
        <v>82</v>
      </c>
    </row>
    <row r="66" spans="1:21" ht="69.75" customHeight="1" outlineLevel="1" x14ac:dyDescent="0.25">
      <c r="A66" s="104">
        <v>38</v>
      </c>
      <c r="B66" s="54" t="s">
        <v>151</v>
      </c>
      <c r="C66" s="59" t="s">
        <v>152</v>
      </c>
      <c r="D66" s="59" t="s">
        <v>149</v>
      </c>
      <c r="E66" s="57" t="s">
        <v>57</v>
      </c>
      <c r="F66" s="80">
        <v>2828000</v>
      </c>
      <c r="G66" s="80">
        <v>2828000</v>
      </c>
      <c r="H66" s="72"/>
      <c r="I66" s="80"/>
      <c r="J66" s="80"/>
      <c r="K66" s="53" t="s">
        <v>348</v>
      </c>
      <c r="L66" s="56" t="s">
        <v>153</v>
      </c>
      <c r="M66" s="57" t="s">
        <v>57</v>
      </c>
      <c r="N66" s="55">
        <v>2828000</v>
      </c>
      <c r="O66" s="49">
        <v>2828000</v>
      </c>
      <c r="P66" s="72">
        <v>5.9900000000000002E-2</v>
      </c>
      <c r="Q66" s="55">
        <v>1128831.5</v>
      </c>
      <c r="R66" s="49">
        <v>1731608.85</v>
      </c>
      <c r="S66" s="55">
        <f t="shared" si="4"/>
        <v>1699168.5</v>
      </c>
      <c r="T66" s="109" t="s">
        <v>82</v>
      </c>
    </row>
    <row r="67" spans="1:21" s="15" customFormat="1" ht="177" customHeight="1" outlineLevel="1" x14ac:dyDescent="0.2">
      <c r="A67" s="27">
        <v>39</v>
      </c>
      <c r="B67" s="54" t="s">
        <v>154</v>
      </c>
      <c r="C67" s="59" t="s">
        <v>155</v>
      </c>
      <c r="D67" s="59" t="s">
        <v>149</v>
      </c>
      <c r="E67" s="53" t="s">
        <v>463</v>
      </c>
      <c r="F67" s="80">
        <v>7900000</v>
      </c>
      <c r="G67" s="110"/>
      <c r="H67" s="110"/>
      <c r="I67" s="110"/>
      <c r="J67" s="110"/>
      <c r="K67" s="56" t="s">
        <v>349</v>
      </c>
      <c r="L67" s="56" t="s">
        <v>156</v>
      </c>
      <c r="M67" s="59" t="s">
        <v>3</v>
      </c>
      <c r="N67" s="111">
        <v>2092000000</v>
      </c>
      <c r="O67" s="49">
        <v>2092000000</v>
      </c>
      <c r="P67" s="112">
        <v>0.02</v>
      </c>
      <c r="Q67" s="49">
        <f>354576270+35457627.1+35457627</f>
        <v>425491524.10000002</v>
      </c>
      <c r="R67" s="49">
        <f>426427783.87+17517039.3+16879773.4</f>
        <v>460824596.56999999</v>
      </c>
      <c r="S67" s="55">
        <f t="shared" si="4"/>
        <v>1666508475.9000001</v>
      </c>
      <c r="T67" s="109" t="s">
        <v>82</v>
      </c>
      <c r="U67" s="14"/>
    </row>
    <row r="68" spans="1:21" s="15" customFormat="1" ht="169.5" customHeight="1" outlineLevel="1" thickBot="1" x14ac:dyDescent="0.25">
      <c r="A68" s="104">
        <v>40</v>
      </c>
      <c r="B68" s="54" t="s">
        <v>154</v>
      </c>
      <c r="C68" s="59" t="s">
        <v>157</v>
      </c>
      <c r="D68" s="59" t="s">
        <v>149</v>
      </c>
      <c r="E68" s="53"/>
      <c r="F68" s="80"/>
      <c r="G68" s="110"/>
      <c r="H68" s="110"/>
      <c r="I68" s="110"/>
      <c r="J68" s="110"/>
      <c r="K68" s="56" t="s">
        <v>350</v>
      </c>
      <c r="L68" s="56" t="s">
        <v>158</v>
      </c>
      <c r="M68" s="56" t="s">
        <v>3</v>
      </c>
      <c r="N68" s="111">
        <v>2187306400</v>
      </c>
      <c r="O68" s="111">
        <v>2187306400</v>
      </c>
      <c r="P68" s="112">
        <v>0.03</v>
      </c>
      <c r="Q68" s="49">
        <v>0</v>
      </c>
      <c r="R68" s="49">
        <f>224789707.9+33079263.9+32539928.1</f>
        <v>290408899.90000004</v>
      </c>
      <c r="S68" s="55">
        <f t="shared" si="4"/>
        <v>2187306400</v>
      </c>
      <c r="T68" s="109" t="s">
        <v>82</v>
      </c>
      <c r="U68" s="14"/>
    </row>
    <row r="69" spans="1:21" s="20" customFormat="1" ht="15" customHeight="1" x14ac:dyDescent="0.25">
      <c r="A69" s="590" t="s">
        <v>159</v>
      </c>
      <c r="B69" s="591"/>
      <c r="C69" s="591"/>
      <c r="D69" s="594" t="s">
        <v>35</v>
      </c>
      <c r="E69" s="594"/>
      <c r="F69" s="594"/>
      <c r="G69" s="594"/>
      <c r="H69" s="594"/>
      <c r="I69" s="594"/>
      <c r="J69" s="594"/>
      <c r="K69" s="594"/>
      <c r="L69" s="594"/>
      <c r="M69" s="95"/>
      <c r="N69" s="24">
        <f>SUMIF($M$62:$M$68,D69,$N$62:$N$68)</f>
        <v>3500000</v>
      </c>
      <c r="O69" s="24">
        <f>SUMIF($M$62:$M$68,D69,$O$62:$O$68)</f>
        <v>3500000</v>
      </c>
      <c r="P69" s="24"/>
      <c r="Q69" s="24">
        <f>SUMIF($M$62:$M$68,D69,$Q$62:$Q$68)</f>
        <v>928000</v>
      </c>
      <c r="R69" s="24">
        <f>SUMIF($M$62:$M$68,D69,$R$62:$R$68)</f>
        <v>440347.92234999558</v>
      </c>
      <c r="S69" s="24">
        <f>SUMIF($M$62:$M$68,D69,$S$62:$S$68)</f>
        <v>2572000</v>
      </c>
      <c r="T69" s="96"/>
      <c r="U69" s="19"/>
    </row>
    <row r="70" spans="1:21" s="20" customFormat="1" ht="15" customHeight="1" x14ac:dyDescent="0.25">
      <c r="A70" s="592"/>
      <c r="B70" s="593"/>
      <c r="C70" s="593"/>
      <c r="D70" s="595" t="s">
        <v>3</v>
      </c>
      <c r="E70" s="595"/>
      <c r="F70" s="595"/>
      <c r="G70" s="595"/>
      <c r="H70" s="595"/>
      <c r="I70" s="595"/>
      <c r="J70" s="595"/>
      <c r="K70" s="595"/>
      <c r="L70" s="595"/>
      <c r="M70" s="97"/>
      <c r="N70" s="22">
        <f>SUMIF($M$62:$M$68,D70,$N$62:$N$68)</f>
        <v>80315196700</v>
      </c>
      <c r="O70" s="22">
        <f>SUMIF($M$62:$M$68,D70,$O$62:$O$68)</f>
        <v>80315196700</v>
      </c>
      <c r="P70" s="22"/>
      <c r="Q70" s="22">
        <f>SUMIF($M$62:$M$68,D70,$Q$62:$Q$68)</f>
        <v>63854062952.900017</v>
      </c>
      <c r="R70" s="22">
        <f>SUMIF($M$62:$M$68,D70,$R$62:$R$68)</f>
        <v>28686699374.670002</v>
      </c>
      <c r="S70" s="22">
        <f>SUMIF($M$62:$M$68,D70,$S$62:$S$68)</f>
        <v>16461133747.099981</v>
      </c>
      <c r="T70" s="98"/>
      <c r="U70" s="19"/>
    </row>
    <row r="71" spans="1:21" s="20" customFormat="1" ht="15" customHeight="1" x14ac:dyDescent="0.25">
      <c r="A71" s="592"/>
      <c r="B71" s="593"/>
      <c r="C71" s="593"/>
      <c r="D71" s="595" t="s">
        <v>57</v>
      </c>
      <c r="E71" s="595"/>
      <c r="F71" s="595"/>
      <c r="G71" s="595"/>
      <c r="H71" s="595"/>
      <c r="I71" s="595"/>
      <c r="J71" s="595"/>
      <c r="K71" s="595"/>
      <c r="L71" s="595"/>
      <c r="M71" s="97"/>
      <c r="N71" s="22">
        <f>SUMIF($M$62:$M$68,D71,$N$62:$N$68)</f>
        <v>4517937.9000000004</v>
      </c>
      <c r="O71" s="22">
        <f>SUMIF($M$62:$M$68,D71,$O$62:$O$68)</f>
        <v>4517937.9000000004</v>
      </c>
      <c r="P71" s="22"/>
      <c r="Q71" s="22">
        <f>SUMIF($M$62:$M$68,D71,$Q$62:$Q$68)</f>
        <v>2029801.73</v>
      </c>
      <c r="R71" s="22">
        <f>SUMIF($M$62:$M$68,D71,$R$62:$R$68)</f>
        <v>3722059.9000000004</v>
      </c>
      <c r="S71" s="22">
        <f>SUMIF($M$62:$M$68,D71,$S$62:$S$68)</f>
        <v>2488136.17</v>
      </c>
      <c r="T71" s="98"/>
      <c r="U71" s="19"/>
    </row>
    <row r="72" spans="1:21" s="20" customFormat="1" ht="15" thickBot="1" x14ac:dyDescent="0.3">
      <c r="A72" s="604"/>
      <c r="B72" s="605"/>
      <c r="C72" s="605"/>
      <c r="D72" s="606" t="s">
        <v>77</v>
      </c>
      <c r="E72" s="606"/>
      <c r="F72" s="606"/>
      <c r="G72" s="606"/>
      <c r="H72" s="606"/>
      <c r="I72" s="606"/>
      <c r="J72" s="606"/>
      <c r="K72" s="606"/>
      <c r="L72" s="606"/>
      <c r="M72" s="102"/>
      <c r="N72" s="23">
        <f>SUMIF($M$62:$M$68,D72,$N$62:$N$68)</f>
        <v>0</v>
      </c>
      <c r="O72" s="23">
        <f>SUMIF($M$62:$M$68,D72,$O$62:$O$68)</f>
        <v>0</v>
      </c>
      <c r="P72" s="23"/>
      <c r="Q72" s="23">
        <f>SUMIF($M$62:$M$68,D72,$Q$62:$Q$68)</f>
        <v>0</v>
      </c>
      <c r="R72" s="23">
        <f>SUMIF($M$62:$M$68,D72,$R$62:$R$68)</f>
        <v>0</v>
      </c>
      <c r="S72" s="23">
        <f>SUMIF($M$62:$M$68,D72,$S$62:$S$68)</f>
        <v>0</v>
      </c>
      <c r="T72" s="103"/>
      <c r="U72" s="19"/>
    </row>
    <row r="73" spans="1:21" s="13" customFormat="1" ht="77.25" customHeight="1" outlineLevel="1" x14ac:dyDescent="0.25">
      <c r="A73" s="27">
        <v>41</v>
      </c>
      <c r="B73" s="54" t="s">
        <v>160</v>
      </c>
      <c r="C73" s="59" t="s">
        <v>161</v>
      </c>
      <c r="D73" s="59" t="s">
        <v>99</v>
      </c>
      <c r="E73" s="59"/>
      <c r="F73" s="59"/>
      <c r="G73" s="59"/>
      <c r="H73" s="59"/>
      <c r="I73" s="59"/>
      <c r="J73" s="59"/>
      <c r="K73" s="59" t="s">
        <v>351</v>
      </c>
      <c r="L73" s="59" t="s">
        <v>162</v>
      </c>
      <c r="M73" s="57" t="s">
        <v>57</v>
      </c>
      <c r="N73" s="49">
        <v>361332</v>
      </c>
      <c r="O73" s="49">
        <v>361332</v>
      </c>
      <c r="P73" s="60">
        <v>7.7700000000000005E-2</v>
      </c>
      <c r="Q73" s="49">
        <f>162402.753184719+8510000/490.37+(1000000+1000000+500000)/395.19+10099.73+2000000/388.21</f>
        <v>201334.64770562557</v>
      </c>
      <c r="R73" s="49">
        <f>187530</f>
        <v>187530</v>
      </c>
      <c r="S73" s="55">
        <f>O73-Q73</f>
        <v>159997.35229437443</v>
      </c>
      <c r="T73" s="58" t="s">
        <v>163</v>
      </c>
      <c r="U73" s="12"/>
    </row>
    <row r="74" spans="1:21" ht="64.5" customHeight="1" outlineLevel="1" x14ac:dyDescent="0.25">
      <c r="A74" s="27">
        <v>42</v>
      </c>
      <c r="B74" s="54" t="s">
        <v>164</v>
      </c>
      <c r="C74" s="59" t="s">
        <v>165</v>
      </c>
      <c r="D74" s="81" t="s">
        <v>124</v>
      </c>
      <c r="E74" s="53"/>
      <c r="F74" s="53"/>
      <c r="G74" s="53"/>
      <c r="H74" s="53"/>
      <c r="I74" s="53"/>
      <c r="J74" s="53"/>
      <c r="K74" s="61" t="s">
        <v>352</v>
      </c>
      <c r="L74" s="49" t="s">
        <v>166</v>
      </c>
      <c r="M74" s="57" t="s">
        <v>35</v>
      </c>
      <c r="N74" s="49">
        <v>8000000</v>
      </c>
      <c r="O74" s="49">
        <v>80000</v>
      </c>
      <c r="P74" s="60" t="s">
        <v>50</v>
      </c>
      <c r="Q74" s="49">
        <f>10909.09+3636.36+3636.36+1428217/392.76+1554016/427.35</f>
        <v>25454.571703756206</v>
      </c>
      <c r="R74" s="49">
        <f>105386.95+361.72+42360.02+4761284/392.76+5116448/427.35</f>
        <v>172203.81988818216</v>
      </c>
      <c r="S74" s="55">
        <f>O74-Q74</f>
        <v>54545.428296243794</v>
      </c>
      <c r="T74" s="58" t="s">
        <v>167</v>
      </c>
    </row>
    <row r="75" spans="1:21" ht="53.25" customHeight="1" outlineLevel="1" x14ac:dyDescent="0.25">
      <c r="A75" s="27">
        <v>43</v>
      </c>
      <c r="B75" s="54" t="s">
        <v>164</v>
      </c>
      <c r="C75" s="59" t="s">
        <v>168</v>
      </c>
      <c r="D75" s="81" t="s">
        <v>132</v>
      </c>
      <c r="E75" s="53"/>
      <c r="F75" s="53"/>
      <c r="G75" s="53"/>
      <c r="H75" s="53"/>
      <c r="I75" s="53"/>
      <c r="J75" s="53"/>
      <c r="K75" s="61" t="s">
        <v>353</v>
      </c>
      <c r="L75" s="49" t="s">
        <v>166</v>
      </c>
      <c r="M75" s="57" t="s">
        <v>35</v>
      </c>
      <c r="N75" s="49">
        <v>8000000</v>
      </c>
      <c r="O75" s="49"/>
      <c r="P75" s="60" t="s">
        <v>50</v>
      </c>
      <c r="Q75" s="49"/>
      <c r="R75" s="49"/>
      <c r="S75" s="55">
        <f>O75-Q75</f>
        <v>0</v>
      </c>
      <c r="T75" s="58" t="s">
        <v>167</v>
      </c>
    </row>
    <row r="76" spans="1:21" ht="53.25" customHeight="1" outlineLevel="1" x14ac:dyDescent="0.25">
      <c r="A76" s="556">
        <v>44</v>
      </c>
      <c r="B76" s="565" t="s">
        <v>169</v>
      </c>
      <c r="C76" s="557" t="s">
        <v>271</v>
      </c>
      <c r="D76" s="81"/>
      <c r="E76" s="53"/>
      <c r="F76" s="53"/>
      <c r="G76" s="53"/>
      <c r="H76" s="53"/>
      <c r="I76" s="53"/>
      <c r="J76" s="53"/>
      <c r="K76" s="61" t="s">
        <v>354</v>
      </c>
      <c r="L76" s="557" t="s">
        <v>292</v>
      </c>
      <c r="M76" s="57" t="s">
        <v>35</v>
      </c>
      <c r="N76" s="49">
        <v>5500000</v>
      </c>
      <c r="O76" s="49">
        <f>1384955.78+492272.39</f>
        <v>1877228.17</v>
      </c>
      <c r="P76" s="60" t="s">
        <v>50</v>
      </c>
      <c r="Q76" s="49"/>
      <c r="R76" s="49"/>
      <c r="S76" s="55">
        <f t="shared" ref="S76:S82" si="5">O76-Q76</f>
        <v>1877228.17</v>
      </c>
      <c r="T76" s="58" t="s">
        <v>82</v>
      </c>
    </row>
    <row r="77" spans="1:21" ht="20.25" customHeight="1" outlineLevel="1" x14ac:dyDescent="0.25">
      <c r="A77" s="546"/>
      <c r="B77" s="566"/>
      <c r="C77" s="549"/>
      <c r="D77" s="81"/>
      <c r="E77" s="53"/>
      <c r="F77" s="53"/>
      <c r="G77" s="53"/>
      <c r="H77" s="53"/>
      <c r="I77" s="53"/>
      <c r="J77" s="53"/>
      <c r="K77" s="61"/>
      <c r="L77" s="549"/>
      <c r="M77" s="56" t="s">
        <v>3</v>
      </c>
      <c r="N77" s="49">
        <v>92733053.200000003</v>
      </c>
      <c r="O77" s="49">
        <f>92733053.2+20276600+1679251+16492341.9+20399976.4+42969092</f>
        <v>194550314.5</v>
      </c>
      <c r="P77" s="60"/>
      <c r="Q77" s="49"/>
      <c r="R77" s="49"/>
      <c r="S77" s="55">
        <f t="shared" si="5"/>
        <v>194550314.5</v>
      </c>
      <c r="T77" s="58"/>
    </row>
    <row r="78" spans="1:21" ht="54" outlineLevel="1" x14ac:dyDescent="0.25">
      <c r="A78" s="27">
        <v>45</v>
      </c>
      <c r="B78" s="54" t="s">
        <v>170</v>
      </c>
      <c r="C78" s="59" t="s">
        <v>171</v>
      </c>
      <c r="D78" s="59" t="s">
        <v>119</v>
      </c>
      <c r="E78" s="53"/>
      <c r="F78" s="53"/>
      <c r="G78" s="53"/>
      <c r="H78" s="53"/>
      <c r="I78" s="53"/>
      <c r="J78" s="53"/>
      <c r="K78" s="61" t="s">
        <v>355</v>
      </c>
      <c r="L78" s="49" t="s">
        <v>172</v>
      </c>
      <c r="M78" s="56" t="s">
        <v>3</v>
      </c>
      <c r="N78" s="49">
        <v>249300000</v>
      </c>
      <c r="O78" s="49">
        <v>249300000</v>
      </c>
      <c r="P78" s="67">
        <v>1E-3</v>
      </c>
      <c r="Q78" s="49">
        <v>42881892.899999999</v>
      </c>
      <c r="R78" s="49">
        <v>528153.5</v>
      </c>
      <c r="S78" s="55">
        <f t="shared" si="5"/>
        <v>206418107.09999999</v>
      </c>
      <c r="T78" s="58" t="s">
        <v>82</v>
      </c>
    </row>
    <row r="79" spans="1:21" ht="148.5" outlineLevel="1" x14ac:dyDescent="0.25">
      <c r="A79" s="27">
        <v>46</v>
      </c>
      <c r="B79" s="113" t="s">
        <v>113</v>
      </c>
      <c r="C79" s="76" t="s">
        <v>114</v>
      </c>
      <c r="D79" s="81" t="s">
        <v>107</v>
      </c>
      <c r="E79" s="53"/>
      <c r="F79" s="53"/>
      <c r="G79" s="53"/>
      <c r="H79" s="53"/>
      <c r="I79" s="53"/>
      <c r="J79" s="53"/>
      <c r="K79" s="106" t="s">
        <v>356</v>
      </c>
      <c r="L79" s="107" t="s">
        <v>115</v>
      </c>
      <c r="M79" s="57" t="s">
        <v>57</v>
      </c>
      <c r="N79" s="49">
        <v>4000000</v>
      </c>
      <c r="O79" s="49">
        <v>776598.69</v>
      </c>
      <c r="P79" s="60" t="s">
        <v>50</v>
      </c>
      <c r="Q79" s="49">
        <v>465353.90575368248</v>
      </c>
      <c r="R79" s="49">
        <v>188098.17996449812</v>
      </c>
      <c r="S79" s="64">
        <f>O79-Q79</f>
        <v>311244.78424631746</v>
      </c>
      <c r="T79" s="86" t="s">
        <v>116</v>
      </c>
    </row>
    <row r="80" spans="1:21" s="15" customFormat="1" ht="40.5" outlineLevel="1" x14ac:dyDescent="0.2">
      <c r="A80" s="27">
        <v>47</v>
      </c>
      <c r="B80" s="54" t="s">
        <v>173</v>
      </c>
      <c r="C80" s="59" t="s">
        <v>139</v>
      </c>
      <c r="D80" s="56" t="s">
        <v>107</v>
      </c>
      <c r="E80" s="53" t="s">
        <v>3</v>
      </c>
      <c r="F80" s="53"/>
      <c r="G80" s="59"/>
      <c r="H80" s="59"/>
      <c r="I80" s="59"/>
      <c r="J80" s="59"/>
      <c r="K80" s="56" t="s">
        <v>357</v>
      </c>
      <c r="L80" s="56" t="s">
        <v>307</v>
      </c>
      <c r="M80" s="56" t="s">
        <v>3</v>
      </c>
      <c r="N80" s="111">
        <v>50600000</v>
      </c>
      <c r="O80" s="49">
        <v>50600000</v>
      </c>
      <c r="P80" s="54" t="s">
        <v>174</v>
      </c>
      <c r="Q80" s="49"/>
      <c r="R80" s="49"/>
      <c r="S80" s="111">
        <f t="shared" si="5"/>
        <v>50600000</v>
      </c>
      <c r="T80" s="58" t="s">
        <v>82</v>
      </c>
      <c r="U80" s="14"/>
    </row>
    <row r="81" spans="1:21" s="15" customFormat="1" ht="40.5" outlineLevel="1" x14ac:dyDescent="0.2">
      <c r="A81" s="27">
        <v>48</v>
      </c>
      <c r="B81" s="54" t="s">
        <v>173</v>
      </c>
      <c r="C81" s="59" t="s">
        <v>139</v>
      </c>
      <c r="D81" s="56" t="s">
        <v>107</v>
      </c>
      <c r="E81" s="53" t="s">
        <v>3</v>
      </c>
      <c r="F81" s="53"/>
      <c r="G81" s="53"/>
      <c r="H81" s="53"/>
      <c r="I81" s="53"/>
      <c r="J81" s="53"/>
      <c r="K81" s="56" t="s">
        <v>358</v>
      </c>
      <c r="L81" s="56" t="s">
        <v>308</v>
      </c>
      <c r="M81" s="59" t="s">
        <v>3</v>
      </c>
      <c r="N81" s="111">
        <v>1100000000</v>
      </c>
      <c r="O81" s="49">
        <v>1100000000</v>
      </c>
      <c r="P81" s="54" t="s">
        <v>174</v>
      </c>
      <c r="Q81" s="49"/>
      <c r="R81" s="49"/>
      <c r="S81" s="111">
        <f t="shared" si="5"/>
        <v>1100000000</v>
      </c>
      <c r="T81" s="608" t="s">
        <v>274</v>
      </c>
      <c r="U81" s="14"/>
    </row>
    <row r="82" spans="1:21" s="15" customFormat="1" ht="40.5" outlineLevel="1" x14ac:dyDescent="0.2">
      <c r="A82" s="27">
        <v>49</v>
      </c>
      <c r="B82" s="54" t="s">
        <v>173</v>
      </c>
      <c r="C82" s="59" t="s">
        <v>139</v>
      </c>
      <c r="D82" s="56" t="s">
        <v>107</v>
      </c>
      <c r="E82" s="53" t="s">
        <v>3</v>
      </c>
      <c r="F82" s="53"/>
      <c r="G82" s="53"/>
      <c r="H82" s="53"/>
      <c r="I82" s="53"/>
      <c r="J82" s="53"/>
      <c r="K82" s="56" t="s">
        <v>359</v>
      </c>
      <c r="L82" s="56" t="s">
        <v>309</v>
      </c>
      <c r="M82" s="59" t="s">
        <v>3</v>
      </c>
      <c r="N82" s="111">
        <v>792386600</v>
      </c>
      <c r="O82" s="49">
        <v>791031693</v>
      </c>
      <c r="P82" s="54" t="s">
        <v>174</v>
      </c>
      <c r="Q82" s="49"/>
      <c r="R82" s="49"/>
      <c r="S82" s="111">
        <f t="shared" si="5"/>
        <v>791031693</v>
      </c>
      <c r="T82" s="609"/>
      <c r="U82" s="14"/>
    </row>
    <row r="83" spans="1:21" s="15" customFormat="1" ht="40.5" outlineLevel="1" x14ac:dyDescent="0.2">
      <c r="A83" s="27">
        <v>50</v>
      </c>
      <c r="B83" s="54" t="s">
        <v>173</v>
      </c>
      <c r="C83" s="59" t="s">
        <v>139</v>
      </c>
      <c r="D83" s="56" t="s">
        <v>107</v>
      </c>
      <c r="E83" s="53" t="s">
        <v>3</v>
      </c>
      <c r="F83" s="53"/>
      <c r="G83" s="53"/>
      <c r="H83" s="53"/>
      <c r="I83" s="53"/>
      <c r="J83" s="53"/>
      <c r="K83" s="56" t="s">
        <v>360</v>
      </c>
      <c r="L83" s="56" t="s">
        <v>310</v>
      </c>
      <c r="M83" s="59" t="s">
        <v>3</v>
      </c>
      <c r="N83" s="111">
        <v>254672300</v>
      </c>
      <c r="O83" s="49">
        <f>168444408+75498000+5196300+5196300</f>
        <v>254335008</v>
      </c>
      <c r="P83" s="54" t="s">
        <v>174</v>
      </c>
      <c r="Q83" s="49"/>
      <c r="R83" s="49"/>
      <c r="S83" s="111">
        <f>O83-Q83</f>
        <v>254335008</v>
      </c>
      <c r="T83" s="610"/>
      <c r="U83" s="14"/>
    </row>
    <row r="84" spans="1:21" s="15" customFormat="1" ht="40.5" outlineLevel="1" x14ac:dyDescent="0.2">
      <c r="A84" s="27">
        <v>51</v>
      </c>
      <c r="B84" s="54" t="s">
        <v>175</v>
      </c>
      <c r="C84" s="59" t="s">
        <v>139</v>
      </c>
      <c r="D84" s="56" t="s">
        <v>119</v>
      </c>
      <c r="E84" s="53" t="s">
        <v>3</v>
      </c>
      <c r="F84" s="53"/>
      <c r="G84" s="53"/>
      <c r="H84" s="53"/>
      <c r="I84" s="53"/>
      <c r="J84" s="53"/>
      <c r="K84" s="56" t="s">
        <v>361</v>
      </c>
      <c r="L84" s="56" t="s">
        <v>176</v>
      </c>
      <c r="M84" s="59" t="s">
        <v>3</v>
      </c>
      <c r="N84" s="111">
        <v>88731015</v>
      </c>
      <c r="O84" s="49">
        <v>88731000</v>
      </c>
      <c r="P84" s="114">
        <v>8.5000000000000006E-2</v>
      </c>
      <c r="Q84" s="49"/>
      <c r="R84" s="49">
        <v>1591081</v>
      </c>
      <c r="S84" s="111">
        <f t="shared" ref="S84:S96" si="6">O84-Q84</f>
        <v>88731000</v>
      </c>
      <c r="T84" s="109" t="s">
        <v>177</v>
      </c>
      <c r="U84" s="14"/>
    </row>
    <row r="85" spans="1:21" s="15" customFormat="1" ht="40.5" outlineLevel="1" x14ac:dyDescent="0.2">
      <c r="A85" s="27">
        <v>52</v>
      </c>
      <c r="B85" s="54" t="s">
        <v>178</v>
      </c>
      <c r="C85" s="59" t="s">
        <v>179</v>
      </c>
      <c r="D85" s="56" t="s">
        <v>119</v>
      </c>
      <c r="E85" s="53" t="s">
        <v>3</v>
      </c>
      <c r="F85" s="53"/>
      <c r="G85" s="53"/>
      <c r="H85" s="53"/>
      <c r="I85" s="53"/>
      <c r="J85" s="53"/>
      <c r="K85" s="56" t="s">
        <v>362</v>
      </c>
      <c r="L85" s="56" t="s">
        <v>180</v>
      </c>
      <c r="M85" s="59" t="s">
        <v>3</v>
      </c>
      <c r="N85" s="111">
        <v>3840000000</v>
      </c>
      <c r="O85" s="49">
        <v>3840000000</v>
      </c>
      <c r="P85" s="115">
        <v>1.0000000000000001E-5</v>
      </c>
      <c r="Q85" s="49">
        <v>3484641868</v>
      </c>
      <c r="R85" s="49">
        <v>37169</v>
      </c>
      <c r="S85" s="111">
        <f t="shared" si="6"/>
        <v>355358132</v>
      </c>
      <c r="T85" s="109" t="s">
        <v>82</v>
      </c>
      <c r="U85" s="14"/>
    </row>
    <row r="86" spans="1:21" ht="94.5" outlineLevel="1" x14ac:dyDescent="0.25">
      <c r="A86" s="27">
        <v>53</v>
      </c>
      <c r="B86" s="113" t="s">
        <v>181</v>
      </c>
      <c r="C86" s="76" t="s">
        <v>179</v>
      </c>
      <c r="D86" s="76" t="s">
        <v>149</v>
      </c>
      <c r="E86" s="76"/>
      <c r="F86" s="76"/>
      <c r="G86" s="76"/>
      <c r="H86" s="76"/>
      <c r="I86" s="76"/>
      <c r="J86" s="76"/>
      <c r="K86" s="59" t="s">
        <v>363</v>
      </c>
      <c r="L86" s="59" t="s">
        <v>182</v>
      </c>
      <c r="M86" s="59" t="s">
        <v>57</v>
      </c>
      <c r="N86" s="116">
        <v>8944984.0899999999</v>
      </c>
      <c r="O86" s="49">
        <v>8944984.0899999999</v>
      </c>
      <c r="P86" s="117">
        <v>7.4999999999999997E-3</v>
      </c>
      <c r="Q86" s="49">
        <f>2425758.4+151609.9</f>
        <v>2577368.2999999998</v>
      </c>
      <c r="R86" s="49">
        <f>881276.03+25084.35+24380.12</f>
        <v>930740.5</v>
      </c>
      <c r="S86" s="55">
        <f t="shared" si="6"/>
        <v>6367615.79</v>
      </c>
      <c r="T86" s="86" t="s">
        <v>82</v>
      </c>
    </row>
    <row r="87" spans="1:21" ht="55.5" customHeight="1" outlineLevel="1" x14ac:dyDescent="0.25">
      <c r="A87" s="556">
        <v>54</v>
      </c>
      <c r="B87" s="565" t="s">
        <v>183</v>
      </c>
      <c r="C87" s="557" t="s">
        <v>179</v>
      </c>
      <c r="D87" s="557" t="s">
        <v>149</v>
      </c>
      <c r="E87" s="76"/>
      <c r="F87" s="76"/>
      <c r="G87" s="76"/>
      <c r="H87" s="76"/>
      <c r="I87" s="76"/>
      <c r="J87" s="76"/>
      <c r="K87" s="557" t="s">
        <v>364</v>
      </c>
      <c r="L87" s="59" t="s">
        <v>184</v>
      </c>
      <c r="M87" s="59" t="s">
        <v>3</v>
      </c>
      <c r="N87" s="116">
        <v>93025000</v>
      </c>
      <c r="O87" s="49">
        <v>93025000</v>
      </c>
      <c r="P87" s="117">
        <v>7.4999999999999997E-3</v>
      </c>
      <c r="Q87" s="49">
        <f>13953750+930250</f>
        <v>14884000</v>
      </c>
      <c r="R87" s="49">
        <v>294653.5</v>
      </c>
      <c r="S87" s="55">
        <f t="shared" si="6"/>
        <v>78141000</v>
      </c>
      <c r="T87" s="554" t="s">
        <v>82</v>
      </c>
    </row>
    <row r="88" spans="1:21" ht="55.5" customHeight="1" outlineLevel="1" x14ac:dyDescent="0.25">
      <c r="A88" s="546"/>
      <c r="B88" s="566"/>
      <c r="C88" s="549"/>
      <c r="D88" s="549"/>
      <c r="E88" s="76"/>
      <c r="F88" s="76"/>
      <c r="G88" s="76"/>
      <c r="H88" s="76"/>
      <c r="I88" s="76"/>
      <c r="J88" s="76"/>
      <c r="K88" s="549"/>
      <c r="L88" s="59" t="s">
        <v>184</v>
      </c>
      <c r="M88" s="59" t="s">
        <v>57</v>
      </c>
      <c r="N88" s="116">
        <v>5217725</v>
      </c>
      <c r="O88" s="49">
        <v>5217725</v>
      </c>
      <c r="P88" s="117">
        <v>7.4999999999999997E-3</v>
      </c>
      <c r="Q88" s="49">
        <f>782658.5+52177.25</f>
        <v>834835.75</v>
      </c>
      <c r="R88" s="49">
        <v>16585.93</v>
      </c>
      <c r="S88" s="55">
        <f t="shared" si="6"/>
        <v>4382889.25</v>
      </c>
      <c r="T88" s="555"/>
    </row>
    <row r="89" spans="1:21" ht="94.5" outlineLevel="1" x14ac:dyDescent="0.25">
      <c r="A89" s="27">
        <v>55</v>
      </c>
      <c r="B89" s="113" t="s">
        <v>185</v>
      </c>
      <c r="C89" s="76" t="s">
        <v>179</v>
      </c>
      <c r="D89" s="76" t="s">
        <v>149</v>
      </c>
      <c r="E89" s="76"/>
      <c r="F89" s="76"/>
      <c r="G89" s="76"/>
      <c r="H89" s="76"/>
      <c r="I89" s="76"/>
      <c r="J89" s="76"/>
      <c r="K89" s="59" t="s">
        <v>365</v>
      </c>
      <c r="L89" s="59" t="s">
        <v>186</v>
      </c>
      <c r="M89" s="59" t="s">
        <v>57</v>
      </c>
      <c r="N89" s="116">
        <v>1989000</v>
      </c>
      <c r="O89" s="49">
        <v>1989000</v>
      </c>
      <c r="P89" s="117">
        <v>7.4999999999999997E-3</v>
      </c>
      <c r="Q89" s="49">
        <f>337118.7+33711.86</f>
        <v>370830.56</v>
      </c>
      <c r="R89" s="49">
        <v>6177.58</v>
      </c>
      <c r="S89" s="55">
        <f t="shared" si="6"/>
        <v>1618169.44</v>
      </c>
      <c r="T89" s="86" t="s">
        <v>82</v>
      </c>
    </row>
    <row r="90" spans="1:21" ht="108" outlineLevel="1" x14ac:dyDescent="0.25">
      <c r="A90" s="27">
        <v>56</v>
      </c>
      <c r="B90" s="113" t="s">
        <v>311</v>
      </c>
      <c r="C90" s="76" t="s">
        <v>312</v>
      </c>
      <c r="D90" s="76" t="s">
        <v>149</v>
      </c>
      <c r="E90" s="76" t="s">
        <v>463</v>
      </c>
      <c r="F90" s="76">
        <v>2190000</v>
      </c>
      <c r="G90" s="76"/>
      <c r="H90" s="76"/>
      <c r="I90" s="76"/>
      <c r="J90" s="76"/>
      <c r="K90" s="76" t="s">
        <v>366</v>
      </c>
      <c r="L90" s="76" t="s">
        <v>313</v>
      </c>
      <c r="M90" s="59" t="s">
        <v>3</v>
      </c>
      <c r="N90" s="116">
        <v>2047212646</v>
      </c>
      <c r="O90" s="107">
        <v>2047212646</v>
      </c>
      <c r="P90" s="117">
        <v>0.02</v>
      </c>
      <c r="Q90" s="49">
        <v>0</v>
      </c>
      <c r="R90" s="49">
        <f>88017538.4+20640391</f>
        <v>108657929.40000001</v>
      </c>
      <c r="S90" s="55">
        <v>2047212646</v>
      </c>
      <c r="T90" s="86" t="s">
        <v>82</v>
      </c>
    </row>
    <row r="91" spans="1:21" ht="256.5" outlineLevel="1" x14ac:dyDescent="0.25">
      <c r="A91" s="75">
        <v>57</v>
      </c>
      <c r="B91" s="113" t="s">
        <v>187</v>
      </c>
      <c r="C91" s="76" t="s">
        <v>188</v>
      </c>
      <c r="D91" s="76" t="s">
        <v>99</v>
      </c>
      <c r="E91" s="76"/>
      <c r="F91" s="76"/>
      <c r="G91" s="76"/>
      <c r="H91" s="76"/>
      <c r="I91" s="76"/>
      <c r="J91" s="76"/>
      <c r="K91" s="76" t="s">
        <v>367</v>
      </c>
      <c r="L91" s="76" t="s">
        <v>189</v>
      </c>
      <c r="M91" s="59" t="s">
        <v>57</v>
      </c>
      <c r="N91" s="116">
        <v>2217000</v>
      </c>
      <c r="O91" s="116">
        <v>2217000</v>
      </c>
      <c r="P91" s="118">
        <v>0.02</v>
      </c>
      <c r="Q91" s="49">
        <f>1656550.78+18166.04+7000680/387.28</f>
        <v>1692793.3537740137</v>
      </c>
      <c r="R91" s="49">
        <f>108750.120345235+1633.42+698950/387.28</f>
        <v>112188.30692238848</v>
      </c>
      <c r="S91" s="55">
        <v>1010837.1</v>
      </c>
      <c r="T91" s="86" t="s">
        <v>190</v>
      </c>
    </row>
    <row r="92" spans="1:21" ht="48.75" customHeight="1" outlineLevel="1" x14ac:dyDescent="0.25">
      <c r="A92" s="27">
        <v>58</v>
      </c>
      <c r="B92" s="54" t="s">
        <v>300</v>
      </c>
      <c r="C92" s="59" t="s">
        <v>301</v>
      </c>
      <c r="D92" s="59" t="s">
        <v>302</v>
      </c>
      <c r="E92" s="59" t="s">
        <v>35</v>
      </c>
      <c r="F92" s="59">
        <v>20000000</v>
      </c>
      <c r="G92" s="59">
        <v>4199559.68</v>
      </c>
      <c r="H92" s="59" t="s">
        <v>304</v>
      </c>
      <c r="I92" s="59"/>
      <c r="J92" s="59"/>
      <c r="K92" s="59" t="s">
        <v>368</v>
      </c>
      <c r="L92" s="76" t="s">
        <v>303</v>
      </c>
      <c r="M92" s="59" t="s">
        <v>35</v>
      </c>
      <c r="N92" s="116">
        <f>4199559.68+12720691.2+1113060.48</f>
        <v>18033311.359999999</v>
      </c>
      <c r="O92" s="116">
        <f>N92</f>
        <v>18033311.359999999</v>
      </c>
      <c r="P92" s="118" t="s">
        <v>304</v>
      </c>
      <c r="Q92" s="49"/>
      <c r="R92" s="119">
        <f>77849.88+103888.1</f>
        <v>181737.98</v>
      </c>
      <c r="S92" s="55">
        <f>O92-Q92</f>
        <v>18033311.359999999</v>
      </c>
      <c r="T92" s="86" t="s">
        <v>305</v>
      </c>
    </row>
    <row r="93" spans="1:21" s="15" customFormat="1" ht="38.25" customHeight="1" outlineLevel="1" x14ac:dyDescent="0.2">
      <c r="A93" s="607">
        <v>59</v>
      </c>
      <c r="B93" s="583" t="s">
        <v>191</v>
      </c>
      <c r="C93" s="567" t="s">
        <v>192</v>
      </c>
      <c r="D93" s="567"/>
      <c r="E93" s="120" t="s">
        <v>57</v>
      </c>
      <c r="F93" s="120"/>
      <c r="G93" s="120"/>
      <c r="H93" s="120"/>
      <c r="I93" s="120"/>
      <c r="J93" s="120"/>
      <c r="K93" s="568" t="s">
        <v>369</v>
      </c>
      <c r="L93" s="559" t="s">
        <v>193</v>
      </c>
      <c r="M93" s="57" t="s">
        <v>57</v>
      </c>
      <c r="N93" s="111">
        <v>237758.39</v>
      </c>
      <c r="O93" s="49">
        <v>237758.39</v>
      </c>
      <c r="P93" s="67"/>
      <c r="Q93" s="49"/>
      <c r="R93" s="49"/>
      <c r="S93" s="111">
        <f>O93-Q93</f>
        <v>237758.39</v>
      </c>
      <c r="T93" s="554" t="s">
        <v>82</v>
      </c>
      <c r="U93" s="14"/>
    </row>
    <row r="94" spans="1:21" s="15" customFormat="1" ht="45" customHeight="1" outlineLevel="1" x14ac:dyDescent="0.2">
      <c r="A94" s="607"/>
      <c r="B94" s="566"/>
      <c r="C94" s="549"/>
      <c r="D94" s="549"/>
      <c r="E94" s="62"/>
      <c r="F94" s="62"/>
      <c r="G94" s="62"/>
      <c r="H94" s="62"/>
      <c r="I94" s="62"/>
      <c r="J94" s="62"/>
      <c r="K94" s="550"/>
      <c r="L94" s="550"/>
      <c r="M94" s="82" t="s">
        <v>3</v>
      </c>
      <c r="N94" s="121">
        <v>28883700</v>
      </c>
      <c r="O94" s="49">
        <v>28883700</v>
      </c>
      <c r="P94" s="122"/>
      <c r="Q94" s="49"/>
      <c r="R94" s="49"/>
      <c r="S94" s="111">
        <f>O94-Q94</f>
        <v>28883700</v>
      </c>
      <c r="T94" s="555"/>
      <c r="U94" s="14"/>
    </row>
    <row r="95" spans="1:21" s="13" customFormat="1" ht="40.5" customHeight="1" outlineLevel="1" x14ac:dyDescent="0.25">
      <c r="A95" s="75">
        <v>60</v>
      </c>
      <c r="B95" s="113" t="s">
        <v>117</v>
      </c>
      <c r="C95" s="76" t="s">
        <v>118</v>
      </c>
      <c r="D95" s="76" t="s">
        <v>119</v>
      </c>
      <c r="E95" s="76"/>
      <c r="F95" s="76"/>
      <c r="G95" s="76"/>
      <c r="H95" s="76"/>
      <c r="I95" s="76"/>
      <c r="J95" s="76"/>
      <c r="K95" s="76" t="s">
        <v>370</v>
      </c>
      <c r="L95" s="76" t="s">
        <v>120</v>
      </c>
      <c r="M95" s="76" t="s">
        <v>3</v>
      </c>
      <c r="N95" s="107">
        <v>303444194</v>
      </c>
      <c r="O95" s="49">
        <v>303444194</v>
      </c>
      <c r="P95" s="122">
        <v>0</v>
      </c>
      <c r="Q95" s="49"/>
      <c r="R95" s="49"/>
      <c r="S95" s="64">
        <f>O95-Q95</f>
        <v>303444194</v>
      </c>
      <c r="T95" s="86" t="s">
        <v>82</v>
      </c>
      <c r="U95" s="12"/>
    </row>
    <row r="96" spans="1:21" s="13" customFormat="1" ht="47.25" customHeight="1" outlineLevel="1" x14ac:dyDescent="0.25">
      <c r="A96" s="27">
        <v>61</v>
      </c>
      <c r="B96" s="59" t="s">
        <v>194</v>
      </c>
      <c r="C96" s="59" t="s">
        <v>195</v>
      </c>
      <c r="D96" s="59" t="s">
        <v>196</v>
      </c>
      <c r="E96" s="59" t="s">
        <v>57</v>
      </c>
      <c r="F96" s="59"/>
      <c r="G96" s="59"/>
      <c r="H96" s="59"/>
      <c r="I96" s="59"/>
      <c r="J96" s="59"/>
      <c r="K96" s="108" t="s">
        <v>371</v>
      </c>
      <c r="L96" s="59" t="s">
        <v>197</v>
      </c>
      <c r="M96" s="59" t="s">
        <v>57</v>
      </c>
      <c r="N96" s="49">
        <v>10000000</v>
      </c>
      <c r="O96" s="49">
        <v>10000000</v>
      </c>
      <c r="P96" s="60" t="s">
        <v>198</v>
      </c>
      <c r="Q96" s="49">
        <v>2553676.86</v>
      </c>
      <c r="R96" s="49">
        <f>3533579.15874841+18816925/512.41+16022937.4/426.85+37537.63+37130+36723+37538</f>
        <v>3756767.8188604596</v>
      </c>
      <c r="S96" s="55">
        <f t="shared" si="6"/>
        <v>7446323.1400000006</v>
      </c>
      <c r="T96" s="58" t="s">
        <v>199</v>
      </c>
      <c r="U96" s="12"/>
    </row>
    <row r="97" spans="1:22" s="13" customFormat="1" ht="51" customHeight="1" outlineLevel="1" thickBot="1" x14ac:dyDescent="0.3">
      <c r="A97" s="27">
        <v>62</v>
      </c>
      <c r="B97" s="59" t="s">
        <v>194</v>
      </c>
      <c r="C97" s="59" t="s">
        <v>139</v>
      </c>
      <c r="D97" s="59" t="s">
        <v>196</v>
      </c>
      <c r="E97" s="59"/>
      <c r="F97" s="59"/>
      <c r="G97" s="59"/>
      <c r="H97" s="59"/>
      <c r="I97" s="59"/>
      <c r="J97" s="59"/>
      <c r="K97" s="108" t="s">
        <v>372</v>
      </c>
      <c r="L97" s="59" t="s">
        <v>200</v>
      </c>
      <c r="M97" s="59" t="s">
        <v>3</v>
      </c>
      <c r="N97" s="49">
        <v>8000000000</v>
      </c>
      <c r="O97" s="49">
        <v>8000000000</v>
      </c>
      <c r="P97" s="60" t="s">
        <v>201</v>
      </c>
      <c r="Q97" s="49"/>
      <c r="R97" s="49">
        <f>3496438357+79342466+80657534+79342466+79342466</f>
        <v>3815123289</v>
      </c>
      <c r="S97" s="55">
        <f>O97-Q97</f>
        <v>8000000000</v>
      </c>
      <c r="T97" s="58" t="s">
        <v>202</v>
      </c>
      <c r="U97" s="12"/>
    </row>
    <row r="98" spans="1:22" s="20" customFormat="1" ht="24.75" customHeight="1" x14ac:dyDescent="0.25">
      <c r="A98" s="590" t="s">
        <v>203</v>
      </c>
      <c r="B98" s="591"/>
      <c r="C98" s="591"/>
      <c r="D98" s="594" t="s">
        <v>35</v>
      </c>
      <c r="E98" s="594"/>
      <c r="F98" s="594"/>
      <c r="G98" s="594"/>
      <c r="H98" s="594"/>
      <c r="I98" s="594"/>
      <c r="J98" s="594"/>
      <c r="K98" s="594"/>
      <c r="L98" s="594"/>
      <c r="M98" s="123"/>
      <c r="N98" s="24">
        <f>SUMIF($M$73:$M$97,D98,$N$73:$N$97)</f>
        <v>39533311.359999999</v>
      </c>
      <c r="O98" s="24">
        <f>SUMIF($M$73:$M$97,D98,$O$73:$O$97)</f>
        <v>19990539.530000001</v>
      </c>
      <c r="P98" s="24"/>
      <c r="Q98" s="24">
        <f>SUMIF($M$73:$M$97,D98,$Q$73:$Q$97)</f>
        <v>25454.571703756206</v>
      </c>
      <c r="R98" s="24">
        <f>SUMIF($M$73:$M$97,D98,$R$73:$R$97)</f>
        <v>353941.7998881822</v>
      </c>
      <c r="S98" s="24">
        <f>SUMIF($M$73:$M$97,D98,$S$73:$S$97)</f>
        <v>19965084.958296243</v>
      </c>
      <c r="T98" s="96"/>
      <c r="U98" s="19"/>
    </row>
    <row r="99" spans="1:22" s="20" customFormat="1" ht="39" customHeight="1" x14ac:dyDescent="0.25">
      <c r="A99" s="592"/>
      <c r="B99" s="593"/>
      <c r="C99" s="593"/>
      <c r="D99" s="595" t="s">
        <v>3</v>
      </c>
      <c r="E99" s="595"/>
      <c r="F99" s="595"/>
      <c r="G99" s="595"/>
      <c r="H99" s="595"/>
      <c r="I99" s="595"/>
      <c r="J99" s="595"/>
      <c r="K99" s="595"/>
      <c r="L99" s="595"/>
      <c r="M99" s="97"/>
      <c r="N99" s="22">
        <f>SUMIF($M$73:$M$97,D99,$N$73:$N$97)</f>
        <v>16940988508.200001</v>
      </c>
      <c r="O99" s="22">
        <f>SUMIF($M$73:$M$97,D99,$O$73:$O$97)</f>
        <v>17041113555.5</v>
      </c>
      <c r="P99" s="22"/>
      <c r="Q99" s="22">
        <f>SUMIF($M$73:$M$97,D99,$Q$73:$Q$97)</f>
        <v>3542407760.9000001</v>
      </c>
      <c r="R99" s="22">
        <f>SUMIF($M$73:$M$97,D99,$R$73:$R$97)</f>
        <v>3926232275.4000001</v>
      </c>
      <c r="S99" s="22">
        <f>SUMIF($M$73:$M$97,D99,$S$73:$S$97)</f>
        <v>13498705794.6</v>
      </c>
      <c r="T99" s="98"/>
      <c r="U99" s="19"/>
    </row>
    <row r="100" spans="1:22" s="20" customFormat="1" ht="39" customHeight="1" x14ac:dyDescent="0.25">
      <c r="A100" s="592"/>
      <c r="B100" s="593"/>
      <c r="C100" s="593"/>
      <c r="D100" s="595" t="s">
        <v>57</v>
      </c>
      <c r="E100" s="595"/>
      <c r="F100" s="595"/>
      <c r="G100" s="595"/>
      <c r="H100" s="595"/>
      <c r="I100" s="595"/>
      <c r="J100" s="595"/>
      <c r="K100" s="595"/>
      <c r="L100" s="595"/>
      <c r="M100" s="97"/>
      <c r="N100" s="22">
        <f>SUMIF($M$73:$M$97,D100,$N$73:$N$97)</f>
        <v>32967799.48</v>
      </c>
      <c r="O100" s="22">
        <f>SUMIF($M$73:$M$97,D100,$O$73:$O$97)</f>
        <v>29744398.170000002</v>
      </c>
      <c r="P100" s="22"/>
      <c r="Q100" s="22">
        <f>SUMIF($M$73:$M$97,D100,$Q$73:$Q$97)</f>
        <v>8696193.3772333208</v>
      </c>
      <c r="R100" s="22">
        <f>SUMIF($M$73:$M$97,D100,$R$73:$R$97)</f>
        <v>5198088.3157473467</v>
      </c>
      <c r="S100" s="22">
        <f>SUMIF($M$73:$M$97,D100,$S$73:$S$97)</f>
        <v>21534835.246540692</v>
      </c>
      <c r="T100" s="98"/>
      <c r="U100" s="19"/>
    </row>
    <row r="101" spans="1:22" s="20" customFormat="1" ht="39" customHeight="1" thickBot="1" x14ac:dyDescent="0.3">
      <c r="A101" s="604"/>
      <c r="B101" s="605"/>
      <c r="C101" s="605"/>
      <c r="D101" s="606" t="s">
        <v>77</v>
      </c>
      <c r="E101" s="606"/>
      <c r="F101" s="606"/>
      <c r="G101" s="606"/>
      <c r="H101" s="606"/>
      <c r="I101" s="606"/>
      <c r="J101" s="606"/>
      <c r="K101" s="606"/>
      <c r="L101" s="606"/>
      <c r="M101" s="102"/>
      <c r="N101" s="23">
        <f>SUMIF($M$73:$M$97,D101,$N$73:$N$97)</f>
        <v>0</v>
      </c>
      <c r="O101" s="23">
        <f>SUMIF($M$73:$M$97,D101,$O$73:$O$97)</f>
        <v>0</v>
      </c>
      <c r="P101" s="23"/>
      <c r="Q101" s="23">
        <f>SUMIF($M$73:$M$97,D101,$Q$73:$Q$97)</f>
        <v>0</v>
      </c>
      <c r="R101" s="23">
        <f>SUMIF($M$73:$M$97,D101,$R$73:$R$97)</f>
        <v>0</v>
      </c>
      <c r="S101" s="23">
        <f>SUMIF($M$73:$M$97,D101,$S$73:$S$97)</f>
        <v>0</v>
      </c>
      <c r="T101" s="103"/>
      <c r="U101" s="19"/>
    </row>
    <row r="102" spans="1:22" s="15" customFormat="1" ht="156.75" customHeight="1" outlineLevel="1" x14ac:dyDescent="0.2">
      <c r="A102" s="27">
        <v>63</v>
      </c>
      <c r="B102" s="76" t="s">
        <v>0</v>
      </c>
      <c r="C102" s="76" t="s">
        <v>1</v>
      </c>
      <c r="D102" s="76"/>
      <c r="E102" s="62"/>
      <c r="F102" s="62"/>
      <c r="G102" s="62"/>
      <c r="H102" s="62"/>
      <c r="I102" s="62"/>
      <c r="J102" s="62"/>
      <c r="K102" s="81" t="s">
        <v>373</v>
      </c>
      <c r="L102" s="81" t="s">
        <v>204</v>
      </c>
      <c r="M102" s="59" t="s">
        <v>3</v>
      </c>
      <c r="N102" s="121">
        <f>3047000000+3000000000</f>
        <v>6047000000</v>
      </c>
      <c r="O102" s="69">
        <v>6000000000</v>
      </c>
      <c r="P102" s="122"/>
      <c r="Q102" s="69">
        <f>4439902959+260956717.5+995441267.7+73262192.2+103703140+88648827.6+23704487.9</f>
        <v>5985619591.8999996</v>
      </c>
      <c r="R102" s="69"/>
      <c r="S102" s="107">
        <f>O102-Q102</f>
        <v>14380408.100000381</v>
      </c>
      <c r="T102" s="124" t="s">
        <v>82</v>
      </c>
      <c r="U102" s="14"/>
    </row>
    <row r="103" spans="1:22" s="15" customFormat="1" ht="135" outlineLevel="1" x14ac:dyDescent="0.2">
      <c r="A103" s="27">
        <v>64</v>
      </c>
      <c r="B103" s="76" t="s">
        <v>4</v>
      </c>
      <c r="C103" s="76" t="s">
        <v>5</v>
      </c>
      <c r="D103" s="76"/>
      <c r="E103" s="62"/>
      <c r="F103" s="62"/>
      <c r="G103" s="62"/>
      <c r="H103" s="62"/>
      <c r="I103" s="62"/>
      <c r="J103" s="62"/>
      <c r="K103" s="81"/>
      <c r="L103" s="81" t="s">
        <v>389</v>
      </c>
      <c r="M103" s="59" t="s">
        <v>3</v>
      </c>
      <c r="N103" s="49">
        <f>2000000000+7300000000</f>
        <v>9300000000</v>
      </c>
      <c r="O103" s="69">
        <f>9024295000</f>
        <v>9024295000</v>
      </c>
      <c r="P103" s="122" t="s">
        <v>205</v>
      </c>
      <c r="Q103" s="107">
        <f>140537000+5009140+4849511288.30001+293553946.6+277518975.4+298090130.9+261563425.9+273040297.9+246795505.7+231942835.5+200000+276040115.2+210499563.5+221320560.6+300000+193123482.7+199186343.7+185073611.4+184150969.4+170369357.1+151027787.7+90490766.8</f>
        <v>8759345104.3000069</v>
      </c>
      <c r="R103" s="107">
        <f>34040214.6+16030636.8+1797857.1+7375602.5+3983531.1+11814600.3+22459610.6+9668538.8+11671711.4+6908264.6+1329981.6</f>
        <v>127080549.39999999</v>
      </c>
      <c r="S103" s="107">
        <f>O103-Q103</f>
        <v>264949895.69999313</v>
      </c>
      <c r="T103" s="124" t="s">
        <v>82</v>
      </c>
      <c r="U103" s="14"/>
    </row>
    <row r="104" spans="1:22" s="15" customFormat="1" ht="175.5" outlineLevel="1" x14ac:dyDescent="0.2">
      <c r="A104" s="27">
        <v>65</v>
      </c>
      <c r="B104" s="76" t="s">
        <v>4</v>
      </c>
      <c r="C104" s="76" t="s">
        <v>7</v>
      </c>
      <c r="D104" s="76"/>
      <c r="E104" s="62"/>
      <c r="F104" s="62"/>
      <c r="G104" s="62"/>
      <c r="H104" s="62"/>
      <c r="I104" s="62"/>
      <c r="J104" s="62"/>
      <c r="K104" s="81" t="s">
        <v>374</v>
      </c>
      <c r="L104" s="81" t="s">
        <v>8</v>
      </c>
      <c r="M104" s="59" t="s">
        <v>3</v>
      </c>
      <c r="N104" s="49">
        <v>562500000</v>
      </c>
      <c r="O104" s="69">
        <v>562500000</v>
      </c>
      <c r="P104" s="122"/>
      <c r="Q104" s="69"/>
      <c r="R104" s="69"/>
      <c r="S104" s="64">
        <f t="shared" ref="S104:S124" si="7">O104-Q104</f>
        <v>562500000</v>
      </c>
      <c r="T104" s="124" t="s">
        <v>82</v>
      </c>
      <c r="U104" s="14"/>
    </row>
    <row r="105" spans="1:22" s="15" customFormat="1" ht="147" customHeight="1" outlineLevel="1" x14ac:dyDescent="0.2">
      <c r="A105" s="27">
        <v>66</v>
      </c>
      <c r="B105" s="557" t="s">
        <v>0</v>
      </c>
      <c r="C105" s="557" t="s">
        <v>9</v>
      </c>
      <c r="D105" s="76"/>
      <c r="E105" s="62"/>
      <c r="F105" s="62"/>
      <c r="G105" s="62"/>
      <c r="H105" s="62"/>
      <c r="I105" s="62"/>
      <c r="J105" s="62"/>
      <c r="K105" s="81" t="s">
        <v>10</v>
      </c>
      <c r="L105" s="81" t="s">
        <v>11</v>
      </c>
      <c r="M105" s="59" t="s">
        <v>3</v>
      </c>
      <c r="N105" s="49">
        <v>2000000000</v>
      </c>
      <c r="O105" s="69">
        <v>2000000000</v>
      </c>
      <c r="P105" s="67">
        <v>2.7E-2</v>
      </c>
      <c r="Q105" s="69"/>
      <c r="R105" s="55">
        <f>68417269.8+13462993.2+49643.9+1421840.5+38566246.5+491534.9+1119195.4</f>
        <v>123528724.20000002</v>
      </c>
      <c r="S105" s="55">
        <f t="shared" si="7"/>
        <v>2000000000</v>
      </c>
      <c r="T105" s="124" t="s">
        <v>82</v>
      </c>
      <c r="U105" s="14"/>
    </row>
    <row r="106" spans="1:22" s="15" customFormat="1" ht="144.75" customHeight="1" outlineLevel="1" x14ac:dyDescent="0.2">
      <c r="A106" s="27">
        <v>67</v>
      </c>
      <c r="B106" s="567"/>
      <c r="C106" s="567"/>
      <c r="D106" s="62"/>
      <c r="E106" s="62"/>
      <c r="F106" s="62"/>
      <c r="G106" s="62"/>
      <c r="H106" s="62"/>
      <c r="I106" s="62"/>
      <c r="J106" s="62"/>
      <c r="K106" s="81" t="s">
        <v>12</v>
      </c>
      <c r="L106" s="81" t="s">
        <v>13</v>
      </c>
      <c r="M106" s="87" t="s">
        <v>3</v>
      </c>
      <c r="N106" s="49">
        <v>2000000000</v>
      </c>
      <c r="O106" s="69">
        <v>2000000000</v>
      </c>
      <c r="P106" s="125">
        <v>5.7000000000000002E-2</v>
      </c>
      <c r="Q106" s="69"/>
      <c r="R106" s="69">
        <f>153819379.6+28421448.8+780809.1+528470.5+2614769.3</f>
        <v>186164877.30000001</v>
      </c>
      <c r="S106" s="55">
        <f t="shared" si="7"/>
        <v>2000000000</v>
      </c>
      <c r="T106" s="124" t="s">
        <v>82</v>
      </c>
      <c r="U106" s="14"/>
    </row>
    <row r="107" spans="1:22" s="15" customFormat="1" ht="90.75" customHeight="1" outlineLevel="1" thickBot="1" x14ac:dyDescent="0.25">
      <c r="A107" s="126">
        <v>68</v>
      </c>
      <c r="B107" s="619"/>
      <c r="C107" s="619"/>
      <c r="D107" s="127"/>
      <c r="E107" s="128"/>
      <c r="F107" s="128"/>
      <c r="G107" s="128"/>
      <c r="H107" s="128"/>
      <c r="I107" s="128"/>
      <c r="J107" s="128"/>
      <c r="K107" s="81" t="s">
        <v>390</v>
      </c>
      <c r="L107" s="129" t="s">
        <v>206</v>
      </c>
      <c r="M107" s="130" t="s">
        <v>3</v>
      </c>
      <c r="N107" s="131">
        <v>5000000000</v>
      </c>
      <c r="O107" s="132">
        <v>5000000000</v>
      </c>
      <c r="P107" s="133">
        <v>2.7E-2</v>
      </c>
      <c r="Q107" s="132"/>
      <c r="R107" s="132">
        <f>34209157.5+76580313.4+83507353.3</f>
        <v>194296824.19999999</v>
      </c>
      <c r="S107" s="134">
        <f t="shared" si="7"/>
        <v>5000000000</v>
      </c>
      <c r="T107" s="124" t="s">
        <v>82</v>
      </c>
      <c r="U107" s="14"/>
    </row>
    <row r="108" spans="1:22" s="20" customFormat="1" ht="30" customHeight="1" x14ac:dyDescent="0.25">
      <c r="A108" s="611" t="s">
        <v>207</v>
      </c>
      <c r="B108" s="612"/>
      <c r="C108" s="612"/>
      <c r="D108" s="613" t="s">
        <v>35</v>
      </c>
      <c r="E108" s="614"/>
      <c r="F108" s="614"/>
      <c r="G108" s="614"/>
      <c r="H108" s="614"/>
      <c r="I108" s="614"/>
      <c r="J108" s="614"/>
      <c r="K108" s="614"/>
      <c r="L108" s="615"/>
      <c r="M108" s="90"/>
      <c r="N108" s="25">
        <f>SUMIF($M$102:$M$107,D108,$N$102:$N$107)</f>
        <v>0</v>
      </c>
      <c r="O108" s="25">
        <f>SUMIF($M$102:$M$107,D108,$O$102:$O$107)</f>
        <v>0</v>
      </c>
      <c r="P108" s="25"/>
      <c r="Q108" s="25">
        <f>SUMIF($M$102:$M$107,D108,$Q$102:$Q$107)</f>
        <v>0</v>
      </c>
      <c r="R108" s="25">
        <f>SUMIF($M$102:$M$107,D108,$R$102:$R$107)</f>
        <v>0</v>
      </c>
      <c r="S108" s="25">
        <f>SUMIF($M$102:$M$107,D108,$S$102:$S$107)</f>
        <v>0</v>
      </c>
      <c r="T108" s="96"/>
      <c r="U108" s="14"/>
      <c r="V108" s="15"/>
    </row>
    <row r="109" spans="1:22" s="20" customFormat="1" ht="27" customHeight="1" x14ac:dyDescent="0.25">
      <c r="A109" s="592"/>
      <c r="B109" s="593"/>
      <c r="C109" s="593"/>
      <c r="D109" s="616" t="s">
        <v>3</v>
      </c>
      <c r="E109" s="617"/>
      <c r="F109" s="617"/>
      <c r="G109" s="617"/>
      <c r="H109" s="617"/>
      <c r="I109" s="617"/>
      <c r="J109" s="617"/>
      <c r="K109" s="617"/>
      <c r="L109" s="618"/>
      <c r="M109" s="97"/>
      <c r="N109" s="25">
        <f>SUMIF($M$102:$M$107,D109,$N$102:$N$107)</f>
        <v>24909500000</v>
      </c>
      <c r="O109" s="22">
        <f>SUMIF($M$102:$M$107,D109,$O$102:$O$107)</f>
        <v>24586795000</v>
      </c>
      <c r="P109" s="22"/>
      <c r="Q109" s="22">
        <f>SUMIF($M$102:$M$107,D109,$Q$102:$Q$107)</f>
        <v>14744964696.200006</v>
      </c>
      <c r="R109" s="22">
        <f>SUMIF($M$102:$M$107,D109,$R$102:$R$107)</f>
        <v>631070975.10000002</v>
      </c>
      <c r="S109" s="22">
        <f>SUMIF($M$102:$M$107,D109,$S$102:$S$107)</f>
        <v>9841830303.7999935</v>
      </c>
      <c r="T109" s="98"/>
      <c r="U109" s="14"/>
      <c r="V109" s="15"/>
    </row>
    <row r="110" spans="1:22" s="20" customFormat="1" ht="28.5" customHeight="1" x14ac:dyDescent="0.25">
      <c r="A110" s="592"/>
      <c r="B110" s="593"/>
      <c r="C110" s="593"/>
      <c r="D110" s="616" t="s">
        <v>57</v>
      </c>
      <c r="E110" s="617"/>
      <c r="F110" s="617"/>
      <c r="G110" s="617"/>
      <c r="H110" s="617"/>
      <c r="I110" s="617"/>
      <c r="J110" s="617"/>
      <c r="K110" s="617"/>
      <c r="L110" s="618"/>
      <c r="M110" s="97"/>
      <c r="N110" s="25">
        <f>SUMIF($M$102:$M$107,D110,$N$102:$N$107)</f>
        <v>0</v>
      </c>
      <c r="O110" s="22">
        <f>SUMIF($M$102:$M$107,D110,$O$102:$O$107)</f>
        <v>0</v>
      </c>
      <c r="P110" s="22"/>
      <c r="Q110" s="22">
        <f>SUMIF($M$102:$M$107,D110,$Q$102:$Q$107)</f>
        <v>0</v>
      </c>
      <c r="R110" s="22">
        <f>SUMIF($M$102:$M$107,D110,$R$102:$R$107)</f>
        <v>0</v>
      </c>
      <c r="S110" s="22">
        <f>SUMIF($M$102:$M$107,D110,$S$102:$S$107)</f>
        <v>0</v>
      </c>
      <c r="T110" s="98"/>
      <c r="U110" s="19"/>
    </row>
    <row r="111" spans="1:22" s="20" customFormat="1" ht="30" customHeight="1" thickBot="1" x14ac:dyDescent="0.3">
      <c r="A111" s="604"/>
      <c r="B111" s="605"/>
      <c r="C111" s="605"/>
      <c r="D111" s="597" t="s">
        <v>77</v>
      </c>
      <c r="E111" s="598"/>
      <c r="F111" s="598"/>
      <c r="G111" s="598"/>
      <c r="H111" s="598"/>
      <c r="I111" s="598"/>
      <c r="J111" s="598"/>
      <c r="K111" s="598"/>
      <c r="L111" s="599"/>
      <c r="M111" s="102"/>
      <c r="N111" s="23">
        <f>SUMIF($M$102:$M$107,D111,$N$102:$N$107)</f>
        <v>0</v>
      </c>
      <c r="O111" s="23">
        <f>SUMIF($M$102:$M$107,D111,$O$102:$O$107)</f>
        <v>0</v>
      </c>
      <c r="P111" s="23"/>
      <c r="Q111" s="23">
        <f>SUMIF($M$102:$M$107,D111,$Q$102:$Q$107)</f>
        <v>0</v>
      </c>
      <c r="R111" s="23">
        <f>SUMIF($M$102:$M$107,D111,$R$102:$R$107)</f>
        <v>0</v>
      </c>
      <c r="S111" s="23">
        <f>SUMIF($M$102:$M$107,D111,$S$102:$S$107)</f>
        <v>0</v>
      </c>
      <c r="T111" s="103"/>
      <c r="U111" s="19"/>
    </row>
    <row r="112" spans="1:22" s="15" customFormat="1" ht="121.5" outlineLevel="1" x14ac:dyDescent="0.2">
      <c r="A112" s="104">
        <v>69</v>
      </c>
      <c r="B112" s="135" t="s">
        <v>208</v>
      </c>
      <c r="C112" s="135" t="s">
        <v>209</v>
      </c>
      <c r="D112" s="76"/>
      <c r="E112" s="62"/>
      <c r="F112" s="62"/>
      <c r="G112" s="62"/>
      <c r="H112" s="62"/>
      <c r="I112" s="62"/>
      <c r="J112" s="62"/>
      <c r="K112" s="81" t="s">
        <v>375</v>
      </c>
      <c r="L112" s="81" t="s">
        <v>210</v>
      </c>
      <c r="M112" s="59" t="s">
        <v>3</v>
      </c>
      <c r="N112" s="136">
        <v>574491741</v>
      </c>
      <c r="O112" s="136">
        <v>574491741</v>
      </c>
      <c r="P112" s="137">
        <v>1E-4</v>
      </c>
      <c r="Q112" s="136">
        <f>132575017.2</f>
        <v>132575017.2</v>
      </c>
      <c r="R112" s="136">
        <f>85623+14165+39966.7</f>
        <v>139754.70000000001</v>
      </c>
      <c r="S112" s="85">
        <f t="shared" si="7"/>
        <v>441916723.80000001</v>
      </c>
      <c r="T112" s="138" t="s">
        <v>211</v>
      </c>
      <c r="U112" s="14"/>
    </row>
    <row r="113" spans="1:21" s="15" customFormat="1" ht="121.5" outlineLevel="1" x14ac:dyDescent="0.2">
      <c r="A113" s="27">
        <v>70</v>
      </c>
      <c r="B113" s="113" t="s">
        <v>212</v>
      </c>
      <c r="C113" s="113" t="s">
        <v>209</v>
      </c>
      <c r="D113" s="76"/>
      <c r="E113" s="62"/>
      <c r="F113" s="62"/>
      <c r="G113" s="62"/>
      <c r="H113" s="62"/>
      <c r="I113" s="62"/>
      <c r="J113" s="62"/>
      <c r="K113" s="81" t="s">
        <v>376</v>
      </c>
      <c r="L113" s="81" t="s">
        <v>213</v>
      </c>
      <c r="M113" s="59" t="s">
        <v>3</v>
      </c>
      <c r="N113" s="121">
        <v>98612371</v>
      </c>
      <c r="O113" s="111">
        <v>98612371</v>
      </c>
      <c r="P113" s="77">
        <v>1E-4</v>
      </c>
      <c r="Q113" s="111"/>
      <c r="R113" s="111">
        <v>17060</v>
      </c>
      <c r="S113" s="64">
        <f t="shared" si="7"/>
        <v>98612371</v>
      </c>
      <c r="T113" s="124" t="s">
        <v>214</v>
      </c>
      <c r="U113" s="14"/>
    </row>
    <row r="114" spans="1:21" s="15" customFormat="1" ht="121.5" outlineLevel="1" x14ac:dyDescent="0.2">
      <c r="A114" s="27">
        <v>71</v>
      </c>
      <c r="B114" s="113" t="s">
        <v>215</v>
      </c>
      <c r="C114" s="113" t="s">
        <v>209</v>
      </c>
      <c r="D114" s="76"/>
      <c r="E114" s="62"/>
      <c r="F114" s="62"/>
      <c r="G114" s="62"/>
      <c r="H114" s="62"/>
      <c r="I114" s="62"/>
      <c r="J114" s="62"/>
      <c r="K114" s="81" t="s">
        <v>377</v>
      </c>
      <c r="L114" s="81" t="s">
        <v>216</v>
      </c>
      <c r="M114" s="59" t="s">
        <v>3</v>
      </c>
      <c r="N114" s="121">
        <v>60132468</v>
      </c>
      <c r="O114" s="111">
        <v>60132468</v>
      </c>
      <c r="P114" s="77">
        <v>1E-4</v>
      </c>
      <c r="Q114" s="111">
        <f>4625574.5+4625574.5+4625574.5+4625574.5+4625575</f>
        <v>23127873</v>
      </c>
      <c r="R114" s="111">
        <f>10367+1511.2+1400+1500+1500</f>
        <v>16278.2</v>
      </c>
      <c r="S114" s="64">
        <f t="shared" si="7"/>
        <v>37004595</v>
      </c>
      <c r="T114" s="124" t="s">
        <v>217</v>
      </c>
      <c r="U114" s="26"/>
    </row>
    <row r="115" spans="1:21" s="15" customFormat="1" ht="121.5" outlineLevel="1" x14ac:dyDescent="0.2">
      <c r="A115" s="27">
        <v>72</v>
      </c>
      <c r="B115" s="113" t="s">
        <v>218</v>
      </c>
      <c r="C115" s="113" t="s">
        <v>209</v>
      </c>
      <c r="D115" s="76"/>
      <c r="E115" s="62"/>
      <c r="F115" s="62"/>
      <c r="G115" s="62"/>
      <c r="H115" s="62"/>
      <c r="I115" s="62"/>
      <c r="J115" s="62"/>
      <c r="K115" s="81" t="s">
        <v>378</v>
      </c>
      <c r="L115" s="81" t="s">
        <v>219</v>
      </c>
      <c r="M115" s="59" t="s">
        <v>3</v>
      </c>
      <c r="N115" s="49">
        <f>9500000+12453199</f>
        <v>21953199</v>
      </c>
      <c r="O115" s="111">
        <f>9500000+12453199</f>
        <v>21953199</v>
      </c>
      <c r="P115" s="77">
        <v>1E-4</v>
      </c>
      <c r="Q115" s="111"/>
      <c r="R115" s="111">
        <v>3720</v>
      </c>
      <c r="S115" s="64">
        <f t="shared" si="7"/>
        <v>21953199</v>
      </c>
      <c r="T115" s="124" t="s">
        <v>220</v>
      </c>
      <c r="U115" s="26"/>
    </row>
    <row r="116" spans="1:21" s="15" customFormat="1" ht="129.75" customHeight="1" outlineLevel="1" x14ac:dyDescent="0.2">
      <c r="A116" s="27">
        <v>73</v>
      </c>
      <c r="B116" s="113" t="s">
        <v>221</v>
      </c>
      <c r="C116" s="113" t="s">
        <v>209</v>
      </c>
      <c r="D116" s="76"/>
      <c r="E116" s="62"/>
      <c r="F116" s="62"/>
      <c r="G116" s="62"/>
      <c r="H116" s="62"/>
      <c r="I116" s="62"/>
      <c r="J116" s="62"/>
      <c r="K116" s="81" t="s">
        <v>378</v>
      </c>
      <c r="L116" s="81" t="s">
        <v>222</v>
      </c>
      <c r="M116" s="59" t="s">
        <v>3</v>
      </c>
      <c r="N116" s="121">
        <v>15801400</v>
      </c>
      <c r="O116" s="111">
        <v>15801400</v>
      </c>
      <c r="P116" s="77">
        <v>1E-4</v>
      </c>
      <c r="Q116" s="111"/>
      <c r="R116" s="111">
        <v>3500</v>
      </c>
      <c r="S116" s="64">
        <f t="shared" si="7"/>
        <v>15801400</v>
      </c>
      <c r="T116" s="124" t="s">
        <v>223</v>
      </c>
      <c r="U116" s="26"/>
    </row>
    <row r="117" spans="1:21" s="15" customFormat="1" ht="129.75" customHeight="1" outlineLevel="1" x14ac:dyDescent="0.2">
      <c r="A117" s="27">
        <v>74</v>
      </c>
      <c r="B117" s="113" t="s">
        <v>224</v>
      </c>
      <c r="C117" s="113" t="s">
        <v>209</v>
      </c>
      <c r="D117" s="76"/>
      <c r="E117" s="62"/>
      <c r="F117" s="62"/>
      <c r="G117" s="62"/>
      <c r="H117" s="62"/>
      <c r="I117" s="62"/>
      <c r="J117" s="62"/>
      <c r="K117" s="81" t="s">
        <v>378</v>
      </c>
      <c r="L117" s="81" t="s">
        <v>222</v>
      </c>
      <c r="M117" s="59" t="s">
        <v>3</v>
      </c>
      <c r="N117" s="121">
        <v>2554000</v>
      </c>
      <c r="O117" s="111">
        <v>2554000</v>
      </c>
      <c r="P117" s="77">
        <v>1E-4</v>
      </c>
      <c r="Q117" s="111"/>
      <c r="R117" s="111">
        <f>500</f>
        <v>500</v>
      </c>
      <c r="S117" s="64">
        <f t="shared" si="7"/>
        <v>2554000</v>
      </c>
      <c r="T117" s="124" t="s">
        <v>225</v>
      </c>
      <c r="U117" s="26"/>
    </row>
    <row r="118" spans="1:21" s="15" customFormat="1" ht="129.75" customHeight="1" outlineLevel="1" x14ac:dyDescent="0.2">
      <c r="A118" s="27">
        <v>75</v>
      </c>
      <c r="B118" s="113" t="s">
        <v>226</v>
      </c>
      <c r="C118" s="113" t="s">
        <v>209</v>
      </c>
      <c r="D118" s="76"/>
      <c r="E118" s="62"/>
      <c r="F118" s="62"/>
      <c r="G118" s="62"/>
      <c r="H118" s="62"/>
      <c r="I118" s="62"/>
      <c r="J118" s="62"/>
      <c r="K118" s="81" t="s">
        <v>378</v>
      </c>
      <c r="L118" s="81" t="s">
        <v>227</v>
      </c>
      <c r="M118" s="59" t="s">
        <v>3</v>
      </c>
      <c r="N118" s="121">
        <v>29053320</v>
      </c>
      <c r="O118" s="111">
        <v>29053320</v>
      </c>
      <c r="P118" s="77">
        <v>1E-4</v>
      </c>
      <c r="Q118" s="111"/>
      <c r="R118" s="111">
        <f>2000+3000</f>
        <v>5000</v>
      </c>
      <c r="S118" s="64">
        <f t="shared" si="7"/>
        <v>29053320</v>
      </c>
      <c r="T118" s="124" t="s">
        <v>228</v>
      </c>
      <c r="U118" s="26"/>
    </row>
    <row r="119" spans="1:21" s="15" customFormat="1" ht="129.75" customHeight="1" outlineLevel="1" x14ac:dyDescent="0.2">
      <c r="A119" s="27">
        <v>76</v>
      </c>
      <c r="B119" s="113" t="s">
        <v>229</v>
      </c>
      <c r="C119" s="113" t="s">
        <v>209</v>
      </c>
      <c r="D119" s="76"/>
      <c r="E119" s="62"/>
      <c r="F119" s="62"/>
      <c r="G119" s="62"/>
      <c r="H119" s="62"/>
      <c r="I119" s="62"/>
      <c r="J119" s="62"/>
      <c r="K119" s="81" t="s">
        <v>378</v>
      </c>
      <c r="L119" s="81" t="s">
        <v>230</v>
      </c>
      <c r="M119" s="59" t="s">
        <v>3</v>
      </c>
      <c r="N119" s="121">
        <v>192064443</v>
      </c>
      <c r="O119" s="111">
        <f>95000000+97064443</f>
        <v>192064443</v>
      </c>
      <c r="P119" s="77">
        <v>1E-4</v>
      </c>
      <c r="Q119" s="111">
        <f>65000000+20000000</f>
        <v>85000000</v>
      </c>
      <c r="R119" s="111">
        <f>16100+12200+23933</f>
        <v>52233</v>
      </c>
      <c r="S119" s="64">
        <f t="shared" si="7"/>
        <v>107064443</v>
      </c>
      <c r="T119" s="124" t="s">
        <v>231</v>
      </c>
      <c r="U119" s="26"/>
    </row>
    <row r="120" spans="1:21" s="15" customFormat="1" ht="129.75" customHeight="1" outlineLevel="1" x14ac:dyDescent="0.2">
      <c r="A120" s="27">
        <v>77</v>
      </c>
      <c r="B120" s="113" t="s">
        <v>233</v>
      </c>
      <c r="C120" s="113" t="s">
        <v>209</v>
      </c>
      <c r="D120" s="76"/>
      <c r="E120" s="62"/>
      <c r="F120" s="62"/>
      <c r="G120" s="62"/>
      <c r="H120" s="62"/>
      <c r="I120" s="62"/>
      <c r="J120" s="62"/>
      <c r="K120" s="81" t="s">
        <v>378</v>
      </c>
      <c r="L120" s="81" t="s">
        <v>232</v>
      </c>
      <c r="M120" s="59" t="s">
        <v>3</v>
      </c>
      <c r="N120" s="121">
        <v>3469534</v>
      </c>
      <c r="O120" s="111">
        <v>3469534</v>
      </c>
      <c r="P120" s="77">
        <v>1E-4</v>
      </c>
      <c r="Q120" s="111">
        <v>266887</v>
      </c>
      <c r="R120" s="111">
        <f>600+86</f>
        <v>686</v>
      </c>
      <c r="S120" s="64">
        <f t="shared" si="7"/>
        <v>3202647</v>
      </c>
      <c r="T120" s="124" t="s">
        <v>234</v>
      </c>
      <c r="U120" s="26"/>
    </row>
    <row r="121" spans="1:21" s="15" customFormat="1" ht="129.75" customHeight="1" outlineLevel="1" x14ac:dyDescent="0.2">
      <c r="A121" s="27">
        <v>78</v>
      </c>
      <c r="B121" s="113" t="s">
        <v>235</v>
      </c>
      <c r="C121" s="113" t="s">
        <v>209</v>
      </c>
      <c r="D121" s="76"/>
      <c r="E121" s="62"/>
      <c r="F121" s="62"/>
      <c r="G121" s="62"/>
      <c r="H121" s="62"/>
      <c r="I121" s="62"/>
      <c r="J121" s="62"/>
      <c r="K121" s="81" t="s">
        <v>378</v>
      </c>
      <c r="L121" s="81" t="s">
        <v>236</v>
      </c>
      <c r="M121" s="59" t="s">
        <v>3</v>
      </c>
      <c r="N121" s="121">
        <v>11781702</v>
      </c>
      <c r="O121" s="111">
        <v>11781702</v>
      </c>
      <c r="P121" s="77">
        <v>1E-4</v>
      </c>
      <c r="Q121" s="111">
        <f>906285+906285+906285+906285+906285</f>
        <v>4531425</v>
      </c>
      <c r="R121" s="111">
        <f>3000+1500+1500</f>
        <v>6000</v>
      </c>
      <c r="S121" s="64">
        <f t="shared" si="7"/>
        <v>7250277</v>
      </c>
      <c r="T121" s="124" t="s">
        <v>237</v>
      </c>
      <c r="U121" s="26"/>
    </row>
    <row r="122" spans="1:21" s="15" customFormat="1" ht="129.75" customHeight="1" outlineLevel="1" x14ac:dyDescent="0.2">
      <c r="A122" s="27">
        <v>79</v>
      </c>
      <c r="B122" s="113" t="s">
        <v>238</v>
      </c>
      <c r="C122" s="113" t="s">
        <v>209</v>
      </c>
      <c r="D122" s="76"/>
      <c r="E122" s="62"/>
      <c r="F122" s="62"/>
      <c r="G122" s="62"/>
      <c r="H122" s="62"/>
      <c r="I122" s="62"/>
      <c r="J122" s="62"/>
      <c r="K122" s="81" t="s">
        <v>378</v>
      </c>
      <c r="L122" s="81" t="s">
        <v>239</v>
      </c>
      <c r="M122" s="59" t="s">
        <v>3</v>
      </c>
      <c r="N122" s="121">
        <f>112000000+16200000</f>
        <v>128200000</v>
      </c>
      <c r="O122" s="111">
        <f>112000000+16200000</f>
        <v>128200000</v>
      </c>
      <c r="P122" s="77">
        <v>1E-4</v>
      </c>
      <c r="Q122" s="111">
        <f>3000000+3000000</f>
        <v>6000000</v>
      </c>
      <c r="R122" s="111">
        <f>25640+12820</f>
        <v>38460</v>
      </c>
      <c r="S122" s="64">
        <f t="shared" si="7"/>
        <v>122200000</v>
      </c>
      <c r="T122" s="124" t="s">
        <v>240</v>
      </c>
      <c r="U122" s="26"/>
    </row>
    <row r="123" spans="1:21" s="15" customFormat="1" ht="129.75" customHeight="1" outlineLevel="1" x14ac:dyDescent="0.2">
      <c r="A123" s="27">
        <v>80</v>
      </c>
      <c r="B123" s="113" t="s">
        <v>241</v>
      </c>
      <c r="C123" s="113" t="s">
        <v>209</v>
      </c>
      <c r="D123" s="76"/>
      <c r="E123" s="62"/>
      <c r="F123" s="62"/>
      <c r="G123" s="62"/>
      <c r="H123" s="62"/>
      <c r="I123" s="62"/>
      <c r="J123" s="62"/>
      <c r="K123" s="81" t="s">
        <v>378</v>
      </c>
      <c r="L123" s="81" t="s">
        <v>242</v>
      </c>
      <c r="M123" s="59" t="s">
        <v>3</v>
      </c>
      <c r="N123" s="121">
        <v>26127500</v>
      </c>
      <c r="O123" s="111">
        <v>26127500</v>
      </c>
      <c r="P123" s="77">
        <v>1E-4</v>
      </c>
      <c r="Q123" s="111"/>
      <c r="R123" s="111">
        <f>4530</f>
        <v>4530</v>
      </c>
      <c r="S123" s="64">
        <f t="shared" si="7"/>
        <v>26127500</v>
      </c>
      <c r="T123" s="124" t="s">
        <v>243</v>
      </c>
      <c r="U123" s="26"/>
    </row>
    <row r="124" spans="1:21" s="15" customFormat="1" ht="129.75" customHeight="1" outlineLevel="1" x14ac:dyDescent="0.2">
      <c r="A124" s="27">
        <v>81</v>
      </c>
      <c r="B124" s="113" t="s">
        <v>244</v>
      </c>
      <c r="C124" s="113" t="s">
        <v>209</v>
      </c>
      <c r="D124" s="76"/>
      <c r="E124" s="62"/>
      <c r="F124" s="62"/>
      <c r="G124" s="62"/>
      <c r="H124" s="62"/>
      <c r="I124" s="62"/>
      <c r="J124" s="62"/>
      <c r="K124" s="81" t="s">
        <v>378</v>
      </c>
      <c r="L124" s="81" t="s">
        <v>245</v>
      </c>
      <c r="M124" s="59" t="s">
        <v>3</v>
      </c>
      <c r="N124" s="121">
        <v>19297200</v>
      </c>
      <c r="O124" s="111">
        <f>10800000+3440000+1440000+3617200</f>
        <v>19297200</v>
      </c>
      <c r="P124" s="77">
        <v>1E-4</v>
      </c>
      <c r="Q124" s="111"/>
      <c r="R124" s="111">
        <f>3000</f>
        <v>3000</v>
      </c>
      <c r="S124" s="64">
        <f t="shared" si="7"/>
        <v>19297200</v>
      </c>
      <c r="T124" s="124" t="s">
        <v>246</v>
      </c>
      <c r="U124" s="26"/>
    </row>
    <row r="125" spans="1:21" s="15" customFormat="1" ht="129.75" customHeight="1" outlineLevel="1" x14ac:dyDescent="0.2">
      <c r="A125" s="27">
        <v>82</v>
      </c>
      <c r="B125" s="113" t="s">
        <v>247</v>
      </c>
      <c r="C125" s="113" t="s">
        <v>209</v>
      </c>
      <c r="D125" s="76"/>
      <c r="E125" s="62"/>
      <c r="F125" s="62"/>
      <c r="G125" s="62"/>
      <c r="H125" s="62"/>
      <c r="I125" s="62"/>
      <c r="J125" s="62"/>
      <c r="K125" s="81" t="s">
        <v>378</v>
      </c>
      <c r="L125" s="81" t="s">
        <v>232</v>
      </c>
      <c r="M125" s="59" t="s">
        <v>3</v>
      </c>
      <c r="N125" s="121">
        <v>2164000</v>
      </c>
      <c r="O125" s="111">
        <v>2164000</v>
      </c>
      <c r="P125" s="77">
        <v>1E-4</v>
      </c>
      <c r="Q125" s="111">
        <f>166462+166462+165000+167000+166500</f>
        <v>831424</v>
      </c>
      <c r="R125" s="111">
        <f>370+54.8+100+100</f>
        <v>624.79999999999995</v>
      </c>
      <c r="S125" s="64">
        <f>O125-R125</f>
        <v>2163375.2000000002</v>
      </c>
      <c r="T125" s="124" t="s">
        <v>248</v>
      </c>
      <c r="U125" s="26"/>
    </row>
    <row r="126" spans="1:21" s="15" customFormat="1" ht="129.75" customHeight="1" outlineLevel="1" x14ac:dyDescent="0.2">
      <c r="A126" s="27">
        <v>83</v>
      </c>
      <c r="B126" s="113" t="s">
        <v>249</v>
      </c>
      <c r="C126" s="113" t="s">
        <v>209</v>
      </c>
      <c r="D126" s="113"/>
      <c r="E126" s="113"/>
      <c r="F126" s="113"/>
      <c r="G126" s="113"/>
      <c r="H126" s="113"/>
      <c r="I126" s="113"/>
      <c r="J126" s="113"/>
      <c r="K126" s="81" t="s">
        <v>378</v>
      </c>
      <c r="L126" s="81" t="s">
        <v>250</v>
      </c>
      <c r="M126" s="59" t="s">
        <v>3</v>
      </c>
      <c r="N126" s="121">
        <v>253504102</v>
      </c>
      <c r="O126" s="111">
        <v>253504102</v>
      </c>
      <c r="P126" s="77">
        <v>1E-4</v>
      </c>
      <c r="Q126" s="111">
        <f>19500316+19500316+19500315+19500315</f>
        <v>78001262</v>
      </c>
      <c r="R126" s="111">
        <f>5973+6390+6181+6389+6181.4+6390+6390+6390+6389+5407+7015</f>
        <v>69095.399999999994</v>
      </c>
      <c r="S126" s="64">
        <f t="shared" ref="S126:S132" si="8">O126-Q126</f>
        <v>175502840</v>
      </c>
      <c r="T126" s="124" t="s">
        <v>251</v>
      </c>
      <c r="U126" s="26"/>
    </row>
    <row r="127" spans="1:21" s="15" customFormat="1" ht="129.75" customHeight="1" outlineLevel="1" x14ac:dyDescent="0.2">
      <c r="A127" s="27">
        <v>84</v>
      </c>
      <c r="B127" s="113" t="s">
        <v>252</v>
      </c>
      <c r="C127" s="113" t="s">
        <v>209</v>
      </c>
      <c r="D127" s="76"/>
      <c r="E127" s="62"/>
      <c r="F127" s="62"/>
      <c r="G127" s="62"/>
      <c r="H127" s="62"/>
      <c r="I127" s="62"/>
      <c r="J127" s="62"/>
      <c r="K127" s="81" t="s">
        <v>378</v>
      </c>
      <c r="L127" s="81" t="s">
        <v>250</v>
      </c>
      <c r="M127" s="59" t="s">
        <v>3</v>
      </c>
      <c r="N127" s="121">
        <v>76200000</v>
      </c>
      <c r="O127" s="111">
        <v>76200000</v>
      </c>
      <c r="P127" s="77">
        <v>1E-4</v>
      </c>
      <c r="Q127" s="111"/>
      <c r="R127" s="111">
        <v>7620</v>
      </c>
      <c r="S127" s="64">
        <f t="shared" si="8"/>
        <v>76200000</v>
      </c>
      <c r="T127" s="124" t="s">
        <v>253</v>
      </c>
      <c r="U127" s="26"/>
    </row>
    <row r="128" spans="1:21" s="15" customFormat="1" ht="121.5" outlineLevel="1" x14ac:dyDescent="0.2">
      <c r="A128" s="27">
        <v>85</v>
      </c>
      <c r="B128" s="113" t="s">
        <v>254</v>
      </c>
      <c r="C128" s="113" t="s">
        <v>209</v>
      </c>
      <c r="D128" s="76"/>
      <c r="E128" s="62"/>
      <c r="F128" s="62"/>
      <c r="G128" s="62"/>
      <c r="H128" s="62"/>
      <c r="I128" s="62"/>
      <c r="J128" s="62"/>
      <c r="K128" s="81" t="s">
        <v>378</v>
      </c>
      <c r="L128" s="81" t="s">
        <v>255</v>
      </c>
      <c r="M128" s="59" t="s">
        <v>3</v>
      </c>
      <c r="N128" s="121">
        <v>50613970</v>
      </c>
      <c r="O128" s="111">
        <v>50613970</v>
      </c>
      <c r="P128" s="77">
        <v>1E-4</v>
      </c>
      <c r="Q128" s="111"/>
      <c r="R128" s="111">
        <f>8800+8800</f>
        <v>17600</v>
      </c>
      <c r="S128" s="64">
        <f t="shared" si="8"/>
        <v>50613970</v>
      </c>
      <c r="T128" s="124" t="s">
        <v>256</v>
      </c>
      <c r="U128" s="26"/>
    </row>
    <row r="129" spans="1:21" s="15" customFormat="1" ht="121.5" outlineLevel="1" x14ac:dyDescent="0.2">
      <c r="A129" s="27">
        <v>86</v>
      </c>
      <c r="B129" s="113" t="s">
        <v>257</v>
      </c>
      <c r="C129" s="113" t="s">
        <v>209</v>
      </c>
      <c r="D129" s="76"/>
      <c r="E129" s="62"/>
      <c r="F129" s="62"/>
      <c r="G129" s="62"/>
      <c r="H129" s="62"/>
      <c r="I129" s="62"/>
      <c r="J129" s="62"/>
      <c r="K129" s="81" t="s">
        <v>378</v>
      </c>
      <c r="L129" s="81" t="s">
        <v>258</v>
      </c>
      <c r="M129" s="59" t="s">
        <v>3</v>
      </c>
      <c r="N129" s="121">
        <v>184740000</v>
      </c>
      <c r="O129" s="111">
        <v>184740000</v>
      </c>
      <c r="P129" s="77">
        <v>1E-4</v>
      </c>
      <c r="Q129" s="111"/>
      <c r="R129" s="111">
        <f>31700</f>
        <v>31700</v>
      </c>
      <c r="S129" s="64">
        <f t="shared" si="8"/>
        <v>184740000</v>
      </c>
      <c r="T129" s="124" t="s">
        <v>259</v>
      </c>
      <c r="U129" s="26"/>
    </row>
    <row r="130" spans="1:21" s="15" customFormat="1" ht="121.5" outlineLevel="1" x14ac:dyDescent="0.2">
      <c r="A130" s="27">
        <v>87</v>
      </c>
      <c r="B130" s="113" t="s">
        <v>260</v>
      </c>
      <c r="C130" s="113" t="s">
        <v>209</v>
      </c>
      <c r="D130" s="76"/>
      <c r="E130" s="62"/>
      <c r="F130" s="62"/>
      <c r="G130" s="62"/>
      <c r="H130" s="62"/>
      <c r="I130" s="62"/>
      <c r="J130" s="62"/>
      <c r="K130" s="81" t="s">
        <v>378</v>
      </c>
      <c r="L130" s="81" t="s">
        <v>261</v>
      </c>
      <c r="M130" s="59" t="s">
        <v>3</v>
      </c>
      <c r="N130" s="121">
        <v>219559596</v>
      </c>
      <c r="O130" s="111">
        <v>219559596</v>
      </c>
      <c r="P130" s="77">
        <v>1E-4</v>
      </c>
      <c r="Q130" s="111">
        <f>16889200+16889200+185781196</f>
        <v>219559596</v>
      </c>
      <c r="R130" s="111">
        <f>5294+5294+27550+5533+1000</f>
        <v>44671</v>
      </c>
      <c r="S130" s="64">
        <f t="shared" si="8"/>
        <v>0</v>
      </c>
      <c r="T130" s="124" t="s">
        <v>470</v>
      </c>
      <c r="U130" s="26"/>
    </row>
    <row r="131" spans="1:21" s="15" customFormat="1" ht="121.5" outlineLevel="1" x14ac:dyDescent="0.2">
      <c r="A131" s="27">
        <v>88</v>
      </c>
      <c r="B131" s="113" t="s">
        <v>262</v>
      </c>
      <c r="C131" s="113" t="s">
        <v>209</v>
      </c>
      <c r="D131" s="76"/>
      <c r="E131" s="62"/>
      <c r="F131" s="62"/>
      <c r="G131" s="62"/>
      <c r="H131" s="62"/>
      <c r="I131" s="62"/>
      <c r="J131" s="62"/>
      <c r="K131" s="81" t="s">
        <v>378</v>
      </c>
      <c r="L131" s="81" t="s">
        <v>258</v>
      </c>
      <c r="M131" s="59" t="s">
        <v>3</v>
      </c>
      <c r="N131" s="121">
        <v>29081500</v>
      </c>
      <c r="O131" s="111">
        <v>29081500</v>
      </c>
      <c r="P131" s="77">
        <v>1E-4</v>
      </c>
      <c r="Q131" s="111"/>
      <c r="R131" s="111">
        <f>1000+4000+3000</f>
        <v>8000</v>
      </c>
      <c r="S131" s="64">
        <f t="shared" si="8"/>
        <v>29081500</v>
      </c>
      <c r="T131" s="124" t="s">
        <v>263</v>
      </c>
      <c r="U131" s="26"/>
    </row>
    <row r="132" spans="1:21" s="15" customFormat="1" ht="123" customHeight="1" outlineLevel="1" thickBot="1" x14ac:dyDescent="0.25">
      <c r="A132" s="126">
        <v>89</v>
      </c>
      <c r="B132" s="139" t="s">
        <v>264</v>
      </c>
      <c r="C132" s="139" t="s">
        <v>209</v>
      </c>
      <c r="D132" s="140"/>
      <c r="E132" s="141"/>
      <c r="F132" s="141"/>
      <c r="G132" s="141"/>
      <c r="H132" s="141"/>
      <c r="I132" s="141"/>
      <c r="J132" s="141"/>
      <c r="K132" s="129" t="s">
        <v>378</v>
      </c>
      <c r="L132" s="129" t="s">
        <v>265</v>
      </c>
      <c r="M132" s="140" t="s">
        <v>3</v>
      </c>
      <c r="N132" s="142">
        <v>12060940</v>
      </c>
      <c r="O132" s="142">
        <v>12060940</v>
      </c>
      <c r="P132" s="143">
        <v>1E-4</v>
      </c>
      <c r="Q132" s="142"/>
      <c r="R132" s="142">
        <v>2170</v>
      </c>
      <c r="S132" s="134">
        <f t="shared" si="8"/>
        <v>12060940</v>
      </c>
      <c r="T132" s="144" t="s">
        <v>266</v>
      </c>
      <c r="U132" s="26"/>
    </row>
    <row r="133" spans="1:21" s="20" customFormat="1" ht="30" customHeight="1" x14ac:dyDescent="0.25">
      <c r="A133" s="611" t="s">
        <v>469</v>
      </c>
      <c r="B133" s="612"/>
      <c r="C133" s="612"/>
      <c r="D133" s="613" t="s">
        <v>35</v>
      </c>
      <c r="E133" s="614"/>
      <c r="F133" s="614"/>
      <c r="G133" s="614"/>
      <c r="H133" s="614"/>
      <c r="I133" s="614"/>
      <c r="J133" s="614"/>
      <c r="K133" s="614"/>
      <c r="L133" s="615"/>
      <c r="M133" s="90"/>
      <c r="N133" s="100">
        <f>SUMIF($M$112:$M$132,D133,$N$112:$N$132)</f>
        <v>0</v>
      </c>
      <c r="O133" s="25">
        <f>SUMIF($M$102:$M$132,D133,$O$102:$O$132)</f>
        <v>0</v>
      </c>
      <c r="P133" s="25"/>
      <c r="Q133" s="25">
        <f>SUMIF($M$112:$M$132,D133,$Q$112:$Q$132)</f>
        <v>0</v>
      </c>
      <c r="R133" s="25">
        <f>SUMIF($M$102:$M$132,D133,$R$102:$R$132)</f>
        <v>0</v>
      </c>
      <c r="S133" s="25">
        <f>SUMIF($M$102:$M$132,D133,$S$102:$S$132)</f>
        <v>0</v>
      </c>
      <c r="T133" s="145"/>
      <c r="U133" s="19"/>
    </row>
    <row r="134" spans="1:21" s="20" customFormat="1" ht="27" customHeight="1" x14ac:dyDescent="0.25">
      <c r="A134" s="592"/>
      <c r="B134" s="593"/>
      <c r="C134" s="593"/>
      <c r="D134" s="616" t="s">
        <v>3</v>
      </c>
      <c r="E134" s="617"/>
      <c r="F134" s="617"/>
      <c r="G134" s="617"/>
      <c r="H134" s="617"/>
      <c r="I134" s="617"/>
      <c r="J134" s="617"/>
      <c r="K134" s="617"/>
      <c r="L134" s="618"/>
      <c r="M134" s="97"/>
      <c r="N134" s="22">
        <f>SUMIF($M$112:$M$132,D134,$N$112:$N$132)</f>
        <v>2011462986</v>
      </c>
      <c r="O134" s="22">
        <f>SUMIF($M$112:$M$132,D134,$O$112:$O$132)</f>
        <v>2011462986</v>
      </c>
      <c r="P134" s="22"/>
      <c r="Q134" s="22">
        <f>SUMIF($M$112:$M$132,D134,$Q$112:$Q$132)</f>
        <v>549893484.20000005</v>
      </c>
      <c r="R134" s="22">
        <f>SUMIF($M$112:$M$132,D134,$R$112:$R$132)</f>
        <v>472203.1</v>
      </c>
      <c r="S134" s="22">
        <f>SUMIF($M$112:$M$132,D134,$S$112:$S$132)</f>
        <v>1462400301</v>
      </c>
      <c r="T134" s="98"/>
      <c r="U134" s="19"/>
    </row>
    <row r="135" spans="1:21" s="20" customFormat="1" ht="28.5" customHeight="1" x14ac:dyDescent="0.25">
      <c r="A135" s="592"/>
      <c r="B135" s="593"/>
      <c r="C135" s="593"/>
      <c r="D135" s="616" t="s">
        <v>57</v>
      </c>
      <c r="E135" s="617"/>
      <c r="F135" s="617"/>
      <c r="G135" s="617"/>
      <c r="H135" s="617"/>
      <c r="I135" s="617"/>
      <c r="J135" s="617"/>
      <c r="K135" s="617"/>
      <c r="L135" s="618"/>
      <c r="M135" s="97"/>
      <c r="N135" s="22">
        <f>SUMIF($M$112:$M$132,D135,$N$112:$N$132)</f>
        <v>0</v>
      </c>
      <c r="O135" s="22">
        <f>SUMIF($M$102:$M$132,D135,$O$102:$O$132)</f>
        <v>0</v>
      </c>
      <c r="P135" s="22"/>
      <c r="Q135" s="22">
        <f>SUMIF($M$102:$M$132,D135,$Q$102:$Q$132)</f>
        <v>0</v>
      </c>
      <c r="R135" s="22">
        <f>SUMIF($M$102:$M$132,D135,$R$102:$R$132)</f>
        <v>0</v>
      </c>
      <c r="S135" s="22">
        <f>SUMIF($M$102:$M$132,D135,$S$102:$S$132)</f>
        <v>0</v>
      </c>
      <c r="T135" s="98"/>
      <c r="U135" s="19"/>
    </row>
    <row r="136" spans="1:21" s="20" customFormat="1" ht="30" customHeight="1" thickBot="1" x14ac:dyDescent="0.3">
      <c r="A136" s="621"/>
      <c r="B136" s="622"/>
      <c r="C136" s="622"/>
      <c r="D136" s="597" t="s">
        <v>77</v>
      </c>
      <c r="E136" s="598"/>
      <c r="F136" s="598"/>
      <c r="G136" s="598"/>
      <c r="H136" s="598"/>
      <c r="I136" s="598"/>
      <c r="J136" s="598"/>
      <c r="K136" s="598"/>
      <c r="L136" s="599"/>
      <c r="M136" s="102"/>
      <c r="N136" s="23">
        <f>SUMIF($M$112:$M$132,D136,$N$112:$N$132)</f>
        <v>0</v>
      </c>
      <c r="O136" s="23">
        <f>SUMIF($M$102:$M$132,D136,$O$102:$O$132)</f>
        <v>0</v>
      </c>
      <c r="P136" s="23"/>
      <c r="Q136" s="23">
        <f>SUMIF($M$102:$M$132,D136,$Q$102:$Q$132)</f>
        <v>0</v>
      </c>
      <c r="R136" s="23">
        <f>SUMIF($M$102:$M$132,D136,$R$102:$R$132)</f>
        <v>0</v>
      </c>
      <c r="S136" s="23">
        <f>SUMIF($M$102:$M$132,D136,$S$102:$S$132)</f>
        <v>0</v>
      </c>
      <c r="T136" s="103"/>
      <c r="U136" s="19"/>
    </row>
    <row r="137" spans="1:21" s="20" customFormat="1" ht="15.75" customHeight="1" x14ac:dyDescent="0.25">
      <c r="A137" s="590" t="s">
        <v>267</v>
      </c>
      <c r="B137" s="591"/>
      <c r="C137" s="623"/>
      <c r="D137" s="615" t="s">
        <v>35</v>
      </c>
      <c r="E137" s="626"/>
      <c r="F137" s="626"/>
      <c r="G137" s="626"/>
      <c r="H137" s="626"/>
      <c r="I137" s="626"/>
      <c r="J137" s="626"/>
      <c r="K137" s="626"/>
      <c r="L137" s="626"/>
      <c r="M137" s="146"/>
      <c r="N137" s="25">
        <f t="shared" ref="N137:S140" si="9">N47+N58+N69+N98+N108+N133</f>
        <v>338789053.64000005</v>
      </c>
      <c r="O137" s="25">
        <f t="shared" si="9"/>
        <v>139419595.06999999</v>
      </c>
      <c r="P137" s="25">
        <f t="shared" si="9"/>
        <v>0</v>
      </c>
      <c r="Q137" s="25">
        <f t="shared" si="9"/>
        <v>46922206.239586227</v>
      </c>
      <c r="R137" s="25">
        <f t="shared" si="9"/>
        <v>17824001.940888666</v>
      </c>
      <c r="S137" s="25">
        <f t="shared" si="9"/>
        <v>92497388.830413759</v>
      </c>
      <c r="T137" s="145"/>
      <c r="U137" s="19"/>
    </row>
    <row r="138" spans="1:21" s="20" customFormat="1" ht="17.25" customHeight="1" x14ac:dyDescent="0.25">
      <c r="A138" s="592"/>
      <c r="B138" s="593"/>
      <c r="C138" s="624"/>
      <c r="D138" s="618" t="s">
        <v>3</v>
      </c>
      <c r="E138" s="595"/>
      <c r="F138" s="595"/>
      <c r="G138" s="595"/>
      <c r="H138" s="595"/>
      <c r="I138" s="595"/>
      <c r="J138" s="595"/>
      <c r="K138" s="595"/>
      <c r="L138" s="595"/>
      <c r="M138" s="146"/>
      <c r="N138" s="25">
        <f t="shared" si="9"/>
        <v>174882887740.10001</v>
      </c>
      <c r="O138" s="25">
        <f t="shared" si="9"/>
        <v>193494618029.51001</v>
      </c>
      <c r="P138" s="25">
        <f t="shared" si="9"/>
        <v>0</v>
      </c>
      <c r="Q138" s="25">
        <f t="shared" si="9"/>
        <v>94769692359.044724</v>
      </c>
      <c r="R138" s="25">
        <f t="shared" si="9"/>
        <v>45508461316.182976</v>
      </c>
      <c r="S138" s="25">
        <f t="shared" si="9"/>
        <v>98725756469.665283</v>
      </c>
      <c r="T138" s="98"/>
      <c r="U138" s="19"/>
    </row>
    <row r="139" spans="1:21" s="20" customFormat="1" ht="15" customHeight="1" x14ac:dyDescent="0.25">
      <c r="A139" s="592"/>
      <c r="B139" s="593"/>
      <c r="C139" s="624"/>
      <c r="D139" s="618" t="s">
        <v>57</v>
      </c>
      <c r="E139" s="595"/>
      <c r="F139" s="595"/>
      <c r="G139" s="595"/>
      <c r="H139" s="595"/>
      <c r="I139" s="595"/>
      <c r="J139" s="595"/>
      <c r="K139" s="595"/>
      <c r="L139" s="595"/>
      <c r="M139" s="97"/>
      <c r="N139" s="25">
        <f t="shared" si="9"/>
        <v>481140620.32000005</v>
      </c>
      <c r="O139" s="25">
        <f t="shared" si="9"/>
        <v>356940040.69</v>
      </c>
      <c r="P139" s="25">
        <f t="shared" si="9"/>
        <v>0</v>
      </c>
      <c r="Q139" s="25">
        <f t="shared" si="9"/>
        <v>104743164.46077845</v>
      </c>
      <c r="R139" s="25">
        <f t="shared" si="9"/>
        <v>55407382.905678451</v>
      </c>
      <c r="S139" s="25">
        <f t="shared" si="9"/>
        <v>252683506.68299556</v>
      </c>
      <c r="T139" s="98"/>
      <c r="U139" s="19"/>
    </row>
    <row r="140" spans="1:21" s="20" customFormat="1" ht="25.5" customHeight="1" x14ac:dyDescent="0.25">
      <c r="A140" s="621"/>
      <c r="B140" s="622"/>
      <c r="C140" s="625"/>
      <c r="D140" s="627" t="s">
        <v>77</v>
      </c>
      <c r="E140" s="596"/>
      <c r="F140" s="596"/>
      <c r="G140" s="596"/>
      <c r="H140" s="596"/>
      <c r="I140" s="596"/>
      <c r="J140" s="596"/>
      <c r="K140" s="596"/>
      <c r="L140" s="596"/>
      <c r="M140" s="99"/>
      <c r="N140" s="25">
        <f t="shared" si="9"/>
        <v>31777311969</v>
      </c>
      <c r="O140" s="25">
        <f t="shared" si="9"/>
        <v>31859249643</v>
      </c>
      <c r="P140" s="25">
        <f t="shared" si="9"/>
        <v>0</v>
      </c>
      <c r="Q140" s="25">
        <f t="shared" si="9"/>
        <v>11038487466.404823</v>
      </c>
      <c r="R140" s="25">
        <f t="shared" si="9"/>
        <v>3402828724.9202366</v>
      </c>
      <c r="S140" s="25">
        <f t="shared" si="9"/>
        <v>20820762176.595181</v>
      </c>
      <c r="T140" s="101"/>
      <c r="U140" s="19"/>
    </row>
    <row r="141" spans="1:21" s="20" customFormat="1" ht="15" customHeight="1" thickBot="1" x14ac:dyDescent="0.3">
      <c r="A141" s="621"/>
      <c r="B141" s="622"/>
      <c r="C141" s="625"/>
      <c r="D141" s="620" t="s">
        <v>67</v>
      </c>
      <c r="E141" s="617"/>
      <c r="F141" s="617"/>
      <c r="G141" s="617"/>
      <c r="H141" s="617"/>
      <c r="I141" s="617"/>
      <c r="J141" s="617"/>
      <c r="K141" s="617"/>
      <c r="L141" s="618"/>
      <c r="M141" s="99"/>
      <c r="N141" s="25">
        <f>N51</f>
        <v>24086688</v>
      </c>
      <c r="O141" s="25">
        <f t="shared" ref="O141:S141" si="10">O51</f>
        <v>18384172.012149811</v>
      </c>
      <c r="P141" s="25">
        <f t="shared" si="10"/>
        <v>0</v>
      </c>
      <c r="Q141" s="25">
        <f t="shared" si="10"/>
        <v>3421726.801663748</v>
      </c>
      <c r="R141" s="25">
        <f t="shared" si="10"/>
        <v>2452783.2591014383</v>
      </c>
      <c r="S141" s="25">
        <f t="shared" si="10"/>
        <v>14962445.210486062</v>
      </c>
      <c r="T141" s="101"/>
      <c r="U141" s="19"/>
    </row>
    <row r="142" spans="1:21" ht="51" customHeight="1" thickBot="1" x14ac:dyDescent="0.3">
      <c r="A142" s="147">
        <v>94</v>
      </c>
      <c r="B142" s="148" t="s">
        <v>268</v>
      </c>
      <c r="C142" s="149" t="s">
        <v>269</v>
      </c>
      <c r="D142" s="149" t="s">
        <v>119</v>
      </c>
      <c r="E142" s="149"/>
      <c r="F142" s="149"/>
      <c r="G142" s="149"/>
      <c r="H142" s="149"/>
      <c r="I142" s="149"/>
      <c r="J142" s="149"/>
      <c r="K142" s="149" t="s">
        <v>379</v>
      </c>
      <c r="L142" s="149" t="s">
        <v>270</v>
      </c>
      <c r="M142" s="149" t="s">
        <v>3</v>
      </c>
      <c r="N142" s="150">
        <f>834800635300+144000000000+32000000000+132000000000+3500000000+14000000000+2900000000</f>
        <v>1163200635300</v>
      </c>
      <c r="O142" s="151">
        <f>834798635300+12095027500+14732486250+11774486250+13492000000+25492000000+15482000000+12375860000+12000000000+13000000000+12000000000+15700000000+17856140000+15664000000+17000000000+14500000000+15500000000+26000000000+14900000000+11999274664</f>
        <v>1126361909964</v>
      </c>
      <c r="P142" s="152">
        <v>1.0000000000000001E-5</v>
      </c>
      <c r="Q142" s="151"/>
      <c r="R142" s="151"/>
      <c r="S142" s="153">
        <f>O142-Q142</f>
        <v>1126361909964</v>
      </c>
      <c r="T142" s="154" t="s">
        <v>82</v>
      </c>
    </row>
    <row r="143" spans="1:21" s="20" customFormat="1" ht="15" customHeight="1" x14ac:dyDescent="0.25">
      <c r="A143" s="155"/>
      <c r="B143" s="155"/>
      <c r="C143" s="155"/>
      <c r="D143" s="156"/>
      <c r="E143" s="156"/>
      <c r="F143" s="156"/>
      <c r="G143" s="156"/>
      <c r="H143" s="156"/>
      <c r="I143" s="156"/>
      <c r="J143" s="156"/>
      <c r="K143" s="156"/>
      <c r="L143" s="156"/>
      <c r="M143" s="157"/>
      <c r="N143" s="28"/>
      <c r="O143" s="28"/>
      <c r="P143" s="28"/>
      <c r="Q143" s="28"/>
      <c r="R143" s="28"/>
      <c r="S143" s="28"/>
      <c r="T143" s="28"/>
      <c r="U143" s="19"/>
    </row>
    <row r="144" spans="1:21" ht="17.25" x14ac:dyDescent="0.3">
      <c r="B144" s="158" t="s">
        <v>3</v>
      </c>
      <c r="C144" s="159"/>
      <c r="M144" s="161"/>
      <c r="N144" s="29"/>
      <c r="O144" s="29"/>
      <c r="S144" s="163"/>
      <c r="T144" s="31"/>
    </row>
    <row r="145" spans="2:21" ht="17.25" x14ac:dyDescent="0.3">
      <c r="B145" s="158" t="s">
        <v>57</v>
      </c>
      <c r="C145" s="159">
        <v>386.22</v>
      </c>
      <c r="N145" s="29"/>
      <c r="O145" s="30"/>
      <c r="P145" s="164"/>
      <c r="R145" s="29"/>
      <c r="S145" s="165"/>
      <c r="T145" s="166"/>
    </row>
    <row r="146" spans="2:21" ht="17.25" x14ac:dyDescent="0.3">
      <c r="B146" s="158" t="s">
        <v>77</v>
      </c>
      <c r="C146" s="167">
        <v>2.7730000000000001</v>
      </c>
      <c r="O146" s="29"/>
      <c r="R146" s="29"/>
      <c r="S146" s="32"/>
      <c r="T146" s="168"/>
    </row>
    <row r="147" spans="2:21" ht="17.25" x14ac:dyDescent="0.3">
      <c r="B147" s="158" t="s">
        <v>35</v>
      </c>
      <c r="C147" s="159">
        <v>424.57</v>
      </c>
      <c r="O147" s="30"/>
      <c r="R147" s="29"/>
      <c r="S147" s="30"/>
      <c r="T147" s="168"/>
    </row>
    <row r="148" spans="2:21" ht="17.25" x14ac:dyDescent="0.3">
      <c r="B148" s="158" t="s">
        <v>67</v>
      </c>
      <c r="C148" s="159">
        <v>520.97</v>
      </c>
      <c r="R148" s="31"/>
      <c r="S148" s="29"/>
      <c r="T148" s="16"/>
    </row>
    <row r="149" spans="2:21" x14ac:dyDescent="0.25">
      <c r="T149" s="16"/>
    </row>
    <row r="150" spans="2:21" x14ac:dyDescent="0.25">
      <c r="S150" s="32"/>
    </row>
    <row r="151" spans="2:21" x14ac:dyDescent="0.25">
      <c r="O151" s="32"/>
      <c r="R151" s="29"/>
      <c r="S151" s="32"/>
    </row>
    <row r="157" spans="2:21" x14ac:dyDescent="0.25">
      <c r="S157" s="29"/>
    </row>
    <row r="158" spans="2:21" s="30" customFormat="1" x14ac:dyDescent="0.25">
      <c r="B158" s="33"/>
      <c r="C158" s="17"/>
      <c r="D158" s="17"/>
      <c r="E158" s="17"/>
      <c r="F158" s="17"/>
      <c r="G158" s="17"/>
      <c r="H158" s="17"/>
      <c r="I158" s="17"/>
      <c r="J158" s="17"/>
      <c r="K158" s="160"/>
      <c r="L158" s="17"/>
      <c r="M158" s="17"/>
      <c r="N158" s="17"/>
      <c r="O158" s="17"/>
      <c r="P158" s="162"/>
      <c r="Q158" s="17"/>
      <c r="R158" s="17"/>
      <c r="S158" s="29"/>
      <c r="T158" s="17"/>
      <c r="U158" s="16"/>
    </row>
  </sheetData>
  <sheetProtection formatCells="0" formatColumns="0" formatRows="0" insertColumns="0" insertRows="0" insertHyperlinks="0" deleteColumns="0" deleteRows="0" sort="0" autoFilter="0" pivotTables="0"/>
  <protectedRanges>
    <protectedRange password="C670" sqref="O74:T77 A65:T68 O80:S92 A80:N92 A74:N77 T80:T92" name="Maria"/>
    <protectedRange algorithmName="SHA-512" hashValue="R0m7mG/o0t2+7dbQTzM5iQkFX2amgAS+iAGJudQnnweh07e6LDAbSuhvcwbzcp7drP+HIG4d/wHfMCXiBXmkow==" saltValue="hXh6Ce3lteSj/cvmR3BSBw==" spinCount="100000" sqref="T142 A112:R132 A142:R142 T112:T132" name="Narine"/>
    <protectedRange algorithmName="SHA-512" hashValue="/qDn2zoAPl6XveVGTDHZcWIjR6P6fmKMYiOIx92BVGuoQ3TYOXlsDsoiDSLs1D9Ugjb3A3EixLJ11cGk8PSHvw==" saltValue="LV/JN9wntl8CkZ3QpoEkqA==" spinCount="100000" sqref="T96:T97 A62:R63 A96:R97 T62:T63" name="Nara"/>
    <protectedRange algorithmName="SHA-512" hashValue="2hnhy85Hze6pXZTujHMyiGA7lE9yapdzAMEgpTAQUbEvX5wkbgVJAYj8efzABUddHb+HHBXm+QO7FFQ7DdcL0Q==" saltValue="/3Se5MhqYIbXZuII16lL6A==" spinCount="100000" sqref="A73:T73 A102:N107 O102:T107" name="Range4"/>
  </protectedRanges>
  <mergeCells count="192">
    <mergeCell ref="D141:L141"/>
    <mergeCell ref="A133:C136"/>
    <mergeCell ref="D133:L133"/>
    <mergeCell ref="D134:L134"/>
    <mergeCell ref="D135:L135"/>
    <mergeCell ref="D136:L136"/>
    <mergeCell ref="A137:C141"/>
    <mergeCell ref="D137:L137"/>
    <mergeCell ref="D138:L138"/>
    <mergeCell ref="D139:L139"/>
    <mergeCell ref="D140:L140"/>
    <mergeCell ref="A108:C111"/>
    <mergeCell ref="D108:L108"/>
    <mergeCell ref="D109:L109"/>
    <mergeCell ref="D110:L110"/>
    <mergeCell ref="D111:L111"/>
    <mergeCell ref="A98:C101"/>
    <mergeCell ref="D98:L98"/>
    <mergeCell ref="D99:L99"/>
    <mergeCell ref="D100:L100"/>
    <mergeCell ref="D101:L101"/>
    <mergeCell ref="B105:B107"/>
    <mergeCell ref="C105:C107"/>
    <mergeCell ref="T87:T88"/>
    <mergeCell ref="A93:A94"/>
    <mergeCell ref="B93:B94"/>
    <mergeCell ref="C93:C94"/>
    <mergeCell ref="D93:D94"/>
    <mergeCell ref="K93:K94"/>
    <mergeCell ref="L93:L94"/>
    <mergeCell ref="T93:T94"/>
    <mergeCell ref="A76:A77"/>
    <mergeCell ref="B76:B77"/>
    <mergeCell ref="C76:C77"/>
    <mergeCell ref="L76:L77"/>
    <mergeCell ref="T81:T83"/>
    <mergeCell ref="A87:A88"/>
    <mergeCell ref="B87:B88"/>
    <mergeCell ref="C87:C88"/>
    <mergeCell ref="D87:D88"/>
    <mergeCell ref="K87:K88"/>
    <mergeCell ref="A58:C61"/>
    <mergeCell ref="D58:L58"/>
    <mergeCell ref="D59:L59"/>
    <mergeCell ref="D60:L60"/>
    <mergeCell ref="D61:L61"/>
    <mergeCell ref="A69:C72"/>
    <mergeCell ref="D69:L69"/>
    <mergeCell ref="D70:L70"/>
    <mergeCell ref="D71:L71"/>
    <mergeCell ref="D72:L72"/>
    <mergeCell ref="B53:B54"/>
    <mergeCell ref="T53:T54"/>
    <mergeCell ref="A56:A57"/>
    <mergeCell ref="B56:B57"/>
    <mergeCell ref="C56:C57"/>
    <mergeCell ref="T56:T57"/>
    <mergeCell ref="T43:T44"/>
    <mergeCell ref="P45:P46"/>
    <mergeCell ref="A47:C51"/>
    <mergeCell ref="D47:L47"/>
    <mergeCell ref="D48:L48"/>
    <mergeCell ref="D49:L49"/>
    <mergeCell ref="D50:L50"/>
    <mergeCell ref="D51:L51"/>
    <mergeCell ref="A43:A44"/>
    <mergeCell ref="B43:B44"/>
    <mergeCell ref="C43:C44"/>
    <mergeCell ref="K43:K44"/>
    <mergeCell ref="L43:L44"/>
    <mergeCell ref="P43:P44"/>
    <mergeCell ref="A34:A36"/>
    <mergeCell ref="B34:B36"/>
    <mergeCell ref="C34:C36"/>
    <mergeCell ref="D34:D36"/>
    <mergeCell ref="E34:E36"/>
    <mergeCell ref="K34:K36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J27:J28"/>
    <mergeCell ref="C29:C30"/>
    <mergeCell ref="D29:D30"/>
    <mergeCell ref="E29:E30"/>
    <mergeCell ref="F29:F30"/>
    <mergeCell ref="G29:G30"/>
    <mergeCell ref="H29:H30"/>
    <mergeCell ref="I29:I30"/>
    <mergeCell ref="J29:J30"/>
    <mergeCell ref="C27:C28"/>
    <mergeCell ref="D27:D28"/>
    <mergeCell ref="F27:F28"/>
    <mergeCell ref="G27:G28"/>
    <mergeCell ref="H27:H28"/>
    <mergeCell ref="I27:I28"/>
    <mergeCell ref="P19:P22"/>
    <mergeCell ref="T19:T20"/>
    <mergeCell ref="P23:P24"/>
    <mergeCell ref="T23:T24"/>
    <mergeCell ref="A25:A26"/>
    <mergeCell ref="B25:B26"/>
    <mergeCell ref="K25:K26"/>
    <mergeCell ref="L25:L26"/>
    <mergeCell ref="P25:P26"/>
    <mergeCell ref="T25:T26"/>
    <mergeCell ref="G23:G26"/>
    <mergeCell ref="H23:H26"/>
    <mergeCell ref="I23:I26"/>
    <mergeCell ref="J23:J26"/>
    <mergeCell ref="K23:K24"/>
    <mergeCell ref="L23:L24"/>
    <mergeCell ref="A23:A24"/>
    <mergeCell ref="B23:B24"/>
    <mergeCell ref="C23:C26"/>
    <mergeCell ref="D23:D26"/>
    <mergeCell ref="E23:E26"/>
    <mergeCell ref="F23:F26"/>
    <mergeCell ref="T17:T18"/>
    <mergeCell ref="A19:A20"/>
    <mergeCell ref="B19:B20"/>
    <mergeCell ref="C19:C22"/>
    <mergeCell ref="D19:D22"/>
    <mergeCell ref="E19:E21"/>
    <mergeCell ref="F19:F21"/>
    <mergeCell ref="G19:G21"/>
    <mergeCell ref="H19:H21"/>
    <mergeCell ref="A17:A18"/>
    <mergeCell ref="B17:B18"/>
    <mergeCell ref="C17:C18"/>
    <mergeCell ref="D17:D18"/>
    <mergeCell ref="K17:K18"/>
    <mergeCell ref="L17:L18"/>
    <mergeCell ref="A21:A22"/>
    <mergeCell ref="B21:B22"/>
    <mergeCell ref="K21:K22"/>
    <mergeCell ref="L21:L22"/>
    <mergeCell ref="T21:T22"/>
    <mergeCell ref="I19:I21"/>
    <mergeCell ref="J19:J21"/>
    <mergeCell ref="K19:K20"/>
    <mergeCell ref="L19:L20"/>
    <mergeCell ref="J15:J16"/>
    <mergeCell ref="K15:K16"/>
    <mergeCell ref="L15:L16"/>
    <mergeCell ref="P15:P16"/>
    <mergeCell ref="T15:T16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3:A14"/>
    <mergeCell ref="B13:B14"/>
    <mergeCell ref="C13:C14"/>
    <mergeCell ref="K13:K14"/>
    <mergeCell ref="L13:L14"/>
    <mergeCell ref="P13:P14"/>
    <mergeCell ref="A1:T1"/>
    <mergeCell ref="A2:T2"/>
    <mergeCell ref="A5:A6"/>
    <mergeCell ref="B5:B6"/>
    <mergeCell ref="D5:D6"/>
    <mergeCell ref="E5:E6"/>
    <mergeCell ref="K5:K6"/>
    <mergeCell ref="T9:T10"/>
    <mergeCell ref="A11:A12"/>
    <mergeCell ref="B11:B12"/>
    <mergeCell ref="C11:C12"/>
    <mergeCell ref="K11:K12"/>
    <mergeCell ref="L11:L12"/>
    <mergeCell ref="P11:P12"/>
    <mergeCell ref="T11:T12"/>
    <mergeCell ref="A9:A10"/>
    <mergeCell ref="B9:B10"/>
    <mergeCell ref="C9:C10"/>
    <mergeCell ref="K9:K10"/>
    <mergeCell ref="L9:L10"/>
    <mergeCell ref="P9:P10"/>
  </mergeCells>
  <conditionalFormatting sqref="O5">
    <cfRule type="cellIs" dxfId="4" priority="5" operator="notEqual">
      <formula>#REF!</formula>
    </cfRule>
  </conditionalFormatting>
  <conditionalFormatting sqref="O95 O6:O33 O35:O41 O43:O45">
    <cfRule type="cellIs" dxfId="3" priority="4" operator="notEqual">
      <formula>#REF!</formula>
    </cfRule>
  </conditionalFormatting>
  <conditionalFormatting sqref="N21">
    <cfRule type="cellIs" dxfId="2" priority="3" operator="notEqual">
      <formula>#REF!</formula>
    </cfRule>
  </conditionalFormatting>
  <conditionalFormatting sqref="O46">
    <cfRule type="cellIs" dxfId="1" priority="2" operator="notEqual">
      <formula>#REF!</formula>
    </cfRule>
  </conditionalFormatting>
  <conditionalFormatting sqref="O79">
    <cfRule type="cellIs" dxfId="0" priority="1" operator="notEqual">
      <formula>#REF!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selection activeCell="G7" sqref="G7"/>
    </sheetView>
  </sheetViews>
  <sheetFormatPr defaultColWidth="25.85546875" defaultRowHeight="15.75" x14ac:dyDescent="0.25"/>
  <cols>
    <col min="1" max="1" width="33.42578125" style="340" customWidth="1"/>
    <col min="2" max="2" width="32.28515625" style="340" customWidth="1"/>
    <col min="3" max="3" width="35.85546875" style="340" customWidth="1"/>
    <col min="4" max="4" width="32.42578125" style="340" customWidth="1"/>
    <col min="5" max="5" width="28.85546875" style="340" customWidth="1"/>
    <col min="6" max="6" width="33.5703125" style="340" customWidth="1"/>
    <col min="7" max="7" width="44.7109375" style="340" customWidth="1"/>
    <col min="8" max="16384" width="25.85546875" style="340"/>
  </cols>
  <sheetData>
    <row r="1" spans="1:9" ht="18.75" x14ac:dyDescent="0.25">
      <c r="A1" s="628" t="s">
        <v>277</v>
      </c>
      <c r="B1" s="628"/>
      <c r="C1" s="628"/>
      <c r="D1" s="628"/>
      <c r="E1" s="628"/>
    </row>
    <row r="2" spans="1:9" ht="61.5" customHeight="1" x14ac:dyDescent="0.25">
      <c r="A2" s="628" t="s">
        <v>476</v>
      </c>
      <c r="B2" s="628"/>
      <c r="C2" s="628"/>
      <c r="D2" s="628"/>
      <c r="E2" s="628"/>
    </row>
    <row r="5" spans="1:9" ht="60.75" x14ac:dyDescent="0.25">
      <c r="A5" s="341" t="s">
        <v>278</v>
      </c>
      <c r="B5" s="341" t="s">
        <v>279</v>
      </c>
      <c r="C5" s="341" t="s">
        <v>280</v>
      </c>
      <c r="D5" s="341" t="s">
        <v>281</v>
      </c>
      <c r="E5" s="341" t="s">
        <v>299</v>
      </c>
    </row>
    <row r="6" spans="1:9" ht="60.75" x14ac:dyDescent="0.25">
      <c r="A6" s="341" t="s">
        <v>391</v>
      </c>
      <c r="B6" s="341" t="s">
        <v>283</v>
      </c>
      <c r="C6" s="341" t="s">
        <v>284</v>
      </c>
      <c r="D6" s="342">
        <v>2000000000</v>
      </c>
      <c r="E6" s="342">
        <v>0</v>
      </c>
      <c r="H6" s="343"/>
      <c r="I6" s="343"/>
    </row>
    <row r="7" spans="1:9" ht="40.5" x14ac:dyDescent="0.25">
      <c r="A7" s="341" t="s">
        <v>408</v>
      </c>
      <c r="B7" s="341" t="s">
        <v>282</v>
      </c>
      <c r="C7" s="341" t="s">
        <v>286</v>
      </c>
      <c r="D7" s="342">
        <v>825000000</v>
      </c>
      <c r="E7" s="342">
        <v>0</v>
      </c>
      <c r="H7" s="343"/>
      <c r="I7" s="343"/>
    </row>
    <row r="8" spans="1:9" ht="40.5" x14ac:dyDescent="0.25">
      <c r="A8" s="341" t="s">
        <v>454</v>
      </c>
      <c r="B8" s="341" t="s">
        <v>282</v>
      </c>
      <c r="C8" s="341" t="s">
        <v>287</v>
      </c>
      <c r="D8" s="342">
        <v>265000000</v>
      </c>
      <c r="E8" s="342">
        <v>9805196.5999999996</v>
      </c>
      <c r="H8" s="343"/>
      <c r="I8" s="343"/>
    </row>
    <row r="9" spans="1:9" ht="101.25" x14ac:dyDescent="0.25">
      <c r="A9" s="341" t="s">
        <v>293</v>
      </c>
      <c r="B9" s="341" t="s">
        <v>294</v>
      </c>
      <c r="C9" s="341" t="s">
        <v>295</v>
      </c>
      <c r="D9" s="344">
        <v>103500000</v>
      </c>
      <c r="E9" s="342">
        <v>0</v>
      </c>
      <c r="H9" s="343"/>
      <c r="I9" s="343"/>
    </row>
    <row r="10" spans="1:9" ht="101.25" x14ac:dyDescent="0.25">
      <c r="A10" s="341" t="s">
        <v>424</v>
      </c>
      <c r="B10" s="341" t="s">
        <v>294</v>
      </c>
      <c r="C10" s="341" t="s">
        <v>296</v>
      </c>
      <c r="D10" s="344">
        <v>100000000</v>
      </c>
      <c r="E10" s="342">
        <v>0</v>
      </c>
      <c r="H10" s="343"/>
      <c r="I10" s="343"/>
    </row>
    <row r="11" spans="1:9" ht="101.25" x14ac:dyDescent="0.25">
      <c r="A11" s="345" t="s">
        <v>452</v>
      </c>
      <c r="B11" s="341" t="s">
        <v>294</v>
      </c>
      <c r="C11" s="341" t="s">
        <v>297</v>
      </c>
      <c r="D11" s="344">
        <v>253500000</v>
      </c>
      <c r="E11" s="342">
        <v>0</v>
      </c>
      <c r="H11" s="343"/>
      <c r="I11" s="343"/>
    </row>
    <row r="12" spans="1:9" ht="40.5" x14ac:dyDescent="0.25">
      <c r="A12" s="345" t="s">
        <v>452</v>
      </c>
      <c r="B12" s="341" t="s">
        <v>282</v>
      </c>
      <c r="C12" s="341" t="s">
        <v>297</v>
      </c>
      <c r="D12" s="344">
        <v>430182000</v>
      </c>
      <c r="E12" s="342">
        <v>35847851</v>
      </c>
      <c r="H12" s="343"/>
      <c r="I12" s="343"/>
    </row>
    <row r="13" spans="1:9" ht="60.75" x14ac:dyDescent="0.25">
      <c r="A13" s="341" t="s">
        <v>415</v>
      </c>
      <c r="B13" s="341" t="s">
        <v>282</v>
      </c>
      <c r="C13" s="341" t="s">
        <v>298</v>
      </c>
      <c r="D13" s="344">
        <v>127200000</v>
      </c>
      <c r="E13" s="342">
        <v>21199125</v>
      </c>
      <c r="H13" s="343"/>
      <c r="I13" s="343"/>
    </row>
    <row r="14" spans="1:9" ht="60.75" x14ac:dyDescent="0.25">
      <c r="A14" s="346" t="s">
        <v>381</v>
      </c>
      <c r="B14" s="341" t="s">
        <v>380</v>
      </c>
      <c r="C14" s="341" t="s">
        <v>382</v>
      </c>
      <c r="D14" s="344">
        <v>500000000</v>
      </c>
      <c r="E14" s="342">
        <v>456696346.89999998</v>
      </c>
      <c r="H14" s="343"/>
      <c r="I14" s="343"/>
    </row>
    <row r="15" spans="1:9" ht="60.75" x14ac:dyDescent="0.25">
      <c r="A15" s="346" t="s">
        <v>383</v>
      </c>
      <c r="B15" s="341" t="s">
        <v>282</v>
      </c>
      <c r="C15" s="341" t="s">
        <v>385</v>
      </c>
      <c r="D15" s="344">
        <v>234990000</v>
      </c>
      <c r="E15" s="344">
        <v>20765515.300000001</v>
      </c>
      <c r="I15" s="343"/>
    </row>
    <row r="16" spans="1:9" ht="40.5" x14ac:dyDescent="0.25">
      <c r="A16" s="347" t="s">
        <v>394</v>
      </c>
      <c r="B16" s="348" t="s">
        <v>384</v>
      </c>
      <c r="C16" s="341" t="s">
        <v>386</v>
      </c>
      <c r="D16" s="344">
        <v>450000000</v>
      </c>
      <c r="E16" s="344">
        <v>0</v>
      </c>
      <c r="H16" s="343"/>
      <c r="I16" s="343"/>
    </row>
    <row r="17" spans="1:9" ht="60.75" x14ac:dyDescent="0.25">
      <c r="A17" s="347" t="s">
        <v>391</v>
      </c>
      <c r="B17" s="341" t="s">
        <v>380</v>
      </c>
      <c r="C17" s="341" t="s">
        <v>397</v>
      </c>
      <c r="D17" s="344">
        <v>1248200000</v>
      </c>
      <c r="E17" s="344">
        <v>1248200000</v>
      </c>
      <c r="H17" s="343"/>
      <c r="I17" s="343"/>
    </row>
    <row r="18" spans="1:9" ht="40.5" x14ac:dyDescent="0.25">
      <c r="A18" s="347" t="s">
        <v>392</v>
      </c>
      <c r="B18" s="341" t="s">
        <v>282</v>
      </c>
      <c r="C18" s="341" t="s">
        <v>398</v>
      </c>
      <c r="D18" s="344">
        <v>139373675</v>
      </c>
      <c r="E18" s="344">
        <v>139373675</v>
      </c>
      <c r="H18" s="343"/>
      <c r="I18" s="343"/>
    </row>
    <row r="19" spans="1:9" ht="33" customHeight="1" x14ac:dyDescent="0.25">
      <c r="A19" s="347" t="s">
        <v>393</v>
      </c>
      <c r="B19" s="341" t="s">
        <v>395</v>
      </c>
      <c r="C19" s="341" t="s">
        <v>397</v>
      </c>
      <c r="D19" s="344">
        <v>900000000</v>
      </c>
      <c r="E19" s="344">
        <v>900000000</v>
      </c>
      <c r="H19" s="343"/>
      <c r="I19" s="343"/>
    </row>
    <row r="20" spans="1:9" ht="40.5" x14ac:dyDescent="0.25">
      <c r="A20" s="347" t="s">
        <v>394</v>
      </c>
      <c r="B20" s="341" t="s">
        <v>396</v>
      </c>
      <c r="C20" s="341" t="s">
        <v>398</v>
      </c>
      <c r="D20" s="344">
        <v>250000000</v>
      </c>
      <c r="E20" s="344">
        <v>250000000</v>
      </c>
      <c r="H20" s="343"/>
      <c r="I20" s="343"/>
    </row>
    <row r="21" spans="1:9" ht="60.75" x14ac:dyDescent="0.25">
      <c r="A21" s="341" t="s">
        <v>415</v>
      </c>
      <c r="B21" s="341" t="s">
        <v>282</v>
      </c>
      <c r="C21" s="341" t="s">
        <v>450</v>
      </c>
      <c r="D21" s="344">
        <v>218138000</v>
      </c>
      <c r="E21" s="344">
        <v>218138000</v>
      </c>
      <c r="H21" s="343"/>
      <c r="I21" s="343"/>
    </row>
    <row r="22" spans="1:9" ht="40.5" x14ac:dyDescent="0.25">
      <c r="A22" s="341" t="s">
        <v>408</v>
      </c>
      <c r="B22" s="341" t="s">
        <v>282</v>
      </c>
      <c r="C22" s="341" t="s">
        <v>451</v>
      </c>
      <c r="D22" s="344">
        <v>692955973</v>
      </c>
      <c r="E22" s="344">
        <v>692955972</v>
      </c>
      <c r="H22" s="343"/>
      <c r="I22" s="343"/>
    </row>
    <row r="23" spans="1:9" ht="40.5" x14ac:dyDescent="0.25">
      <c r="A23" s="347" t="s">
        <v>452</v>
      </c>
      <c r="B23" s="341" t="s">
        <v>282</v>
      </c>
      <c r="C23" s="341" t="s">
        <v>453</v>
      </c>
      <c r="D23" s="344">
        <v>674283500</v>
      </c>
      <c r="E23" s="344">
        <v>674283500</v>
      </c>
      <c r="H23" s="343"/>
      <c r="I23" s="343"/>
    </row>
    <row r="24" spans="1:9" ht="33" customHeight="1" x14ac:dyDescent="0.25">
      <c r="A24" s="349" t="s">
        <v>285</v>
      </c>
      <c r="B24" s="349"/>
      <c r="C24" s="349"/>
      <c r="D24" s="350">
        <f>SUM(D6:D23)</f>
        <v>9412323148</v>
      </c>
      <c r="E24" s="350">
        <f>SUM(E6:E23)</f>
        <v>4667265181.8000002</v>
      </c>
      <c r="F24" s="351"/>
    </row>
    <row r="27" spans="1:9" x14ac:dyDescent="0.25">
      <c r="A27" s="352"/>
      <c r="B27" s="352"/>
      <c r="C27" s="352"/>
      <c r="D27" s="352"/>
      <c r="E27" s="352"/>
      <c r="F27" s="352"/>
      <c r="G27" s="352"/>
      <c r="H27" s="353"/>
      <c r="I27" s="353"/>
    </row>
    <row r="28" spans="1:9" x14ac:dyDescent="0.25">
      <c r="A28" s="352"/>
      <c r="B28" s="352"/>
      <c r="C28" s="352"/>
      <c r="D28" s="352"/>
      <c r="E28" s="352"/>
      <c r="F28" s="352"/>
      <c r="G28" s="352"/>
      <c r="H28" s="353"/>
      <c r="I28" s="353"/>
    </row>
    <row r="29" spans="1:9" x14ac:dyDescent="0.25">
      <c r="A29" s="352"/>
      <c r="B29" s="352"/>
      <c r="C29" s="352"/>
      <c r="D29" s="352"/>
      <c r="E29" s="352"/>
      <c r="F29" s="352"/>
      <c r="G29" s="352"/>
      <c r="H29" s="353"/>
      <c r="I29" s="353"/>
    </row>
    <row r="30" spans="1:9" x14ac:dyDescent="0.25">
      <c r="A30" s="352"/>
      <c r="B30" s="352"/>
      <c r="C30" s="352"/>
      <c r="D30" s="352"/>
      <c r="E30" s="352"/>
      <c r="F30" s="352"/>
      <c r="G30" s="352"/>
      <c r="H30" s="353"/>
      <c r="I30" s="353"/>
    </row>
    <row r="31" spans="1:9" x14ac:dyDescent="0.25">
      <c r="A31" s="352"/>
      <c r="B31" s="352"/>
      <c r="C31" s="352"/>
      <c r="D31" s="352"/>
      <c r="E31" s="352"/>
      <c r="F31" s="352"/>
      <c r="G31" s="352"/>
      <c r="H31" s="353"/>
      <c r="I31" s="353"/>
    </row>
    <row r="32" spans="1:9" x14ac:dyDescent="0.25">
      <c r="A32" s="352"/>
      <c r="B32" s="352"/>
      <c r="C32" s="352"/>
      <c r="D32" s="352"/>
      <c r="E32" s="352"/>
      <c r="F32" s="352"/>
      <c r="G32" s="352"/>
      <c r="H32" s="353"/>
      <c r="I32" s="353"/>
    </row>
    <row r="33" spans="1:9" x14ac:dyDescent="0.25">
      <c r="A33" s="352"/>
      <c r="B33" s="352"/>
      <c r="C33" s="352"/>
      <c r="D33" s="352"/>
      <c r="E33" s="352"/>
      <c r="F33" s="352"/>
      <c r="G33" s="352"/>
      <c r="H33" s="353"/>
      <c r="I33" s="353"/>
    </row>
  </sheetData>
  <mergeCells count="2">
    <mergeCell ref="A2:E2"/>
    <mergeCell ref="A1:E1"/>
  </mergeCells>
  <pageMargins left="0.7" right="0.7" top="0.75" bottom="0.75" header="0.3" footer="0.3"/>
  <pageSetup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zoomScaleNormal="100" workbookViewId="0">
      <selection activeCell="H1" sqref="H1"/>
    </sheetView>
  </sheetViews>
  <sheetFormatPr defaultColWidth="9.140625" defaultRowHeight="13.5" x14ac:dyDescent="0.25"/>
  <cols>
    <col min="1" max="1" width="51.42578125" style="354" customWidth="1"/>
    <col min="2" max="2" width="51.5703125" style="354" customWidth="1"/>
    <col min="3" max="3" width="36.42578125" style="354" customWidth="1"/>
    <col min="4" max="4" width="40.28515625" style="354" customWidth="1"/>
    <col min="5" max="5" width="44.85546875" style="354" customWidth="1"/>
    <col min="6" max="6" width="47.140625" style="354" customWidth="1"/>
    <col min="7" max="7" width="30.85546875" style="354" customWidth="1"/>
    <col min="8" max="8" width="34.28515625" style="355" customWidth="1"/>
    <col min="9" max="9" width="17.28515625" style="355" customWidth="1"/>
    <col min="10" max="12" width="12.7109375" style="355" customWidth="1"/>
    <col min="13" max="18" width="9.140625" style="355"/>
    <col min="19" max="16384" width="9.140625" style="354"/>
  </cols>
  <sheetData>
    <row r="1" spans="1:18" ht="9" customHeight="1" x14ac:dyDescent="0.25"/>
    <row r="2" spans="1:18" s="356" customFormat="1" ht="17.25" customHeight="1" x14ac:dyDescent="0.25">
      <c r="A2" s="633" t="s">
        <v>399</v>
      </c>
      <c r="B2" s="633"/>
      <c r="C2" s="634" t="s">
        <v>400</v>
      </c>
      <c r="D2" s="634"/>
      <c r="E2" s="634" t="s">
        <v>401</v>
      </c>
      <c r="F2" s="634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8" ht="18" customHeight="1" thickBot="1" x14ac:dyDescent="0.3"/>
    <row r="4" spans="1:18" s="361" customFormat="1" ht="22.5" customHeight="1" x14ac:dyDescent="0.25">
      <c r="A4" s="635" t="s">
        <v>402</v>
      </c>
      <c r="B4" s="636"/>
      <c r="C4" s="636" t="s">
        <v>403</v>
      </c>
      <c r="D4" s="636"/>
      <c r="E4" s="636" t="s">
        <v>404</v>
      </c>
      <c r="F4" s="636"/>
      <c r="G4" s="358">
        <f>SUM(G6:G23)</f>
        <v>9412323148</v>
      </c>
      <c r="H4" s="359">
        <f>SUM(H6:H23)</f>
        <v>4667265181.8000002</v>
      </c>
      <c r="I4" s="360"/>
      <c r="J4" s="360"/>
      <c r="K4" s="360"/>
      <c r="L4" s="360"/>
      <c r="M4" s="360"/>
      <c r="N4" s="360"/>
      <c r="O4" s="360"/>
      <c r="P4" s="360"/>
      <c r="Q4" s="360"/>
      <c r="R4" s="360"/>
    </row>
    <row r="5" spans="1:18" s="361" customFormat="1" ht="82.5" customHeight="1" x14ac:dyDescent="0.25">
      <c r="A5" s="629" t="s">
        <v>405</v>
      </c>
      <c r="B5" s="630"/>
      <c r="C5" s="630" t="s">
        <v>406</v>
      </c>
      <c r="D5" s="630"/>
      <c r="E5" s="630" t="s">
        <v>407</v>
      </c>
      <c r="F5" s="630"/>
      <c r="G5" s="362" t="s">
        <v>455</v>
      </c>
      <c r="H5" s="363" t="s">
        <v>456</v>
      </c>
      <c r="I5" s="360"/>
      <c r="J5" s="360"/>
      <c r="K5" s="360"/>
      <c r="L5" s="360"/>
      <c r="M5" s="360"/>
      <c r="N5" s="360"/>
      <c r="O5" s="360"/>
      <c r="P5" s="360"/>
      <c r="Q5" s="360"/>
      <c r="R5" s="360"/>
    </row>
    <row r="6" spans="1:18" ht="33.75" customHeight="1" x14ac:dyDescent="0.25">
      <c r="A6" s="364" t="s">
        <v>391</v>
      </c>
      <c r="B6" s="365" t="s">
        <v>283</v>
      </c>
      <c r="C6" s="365" t="s">
        <v>427</v>
      </c>
      <c r="D6" s="365" t="s">
        <v>428</v>
      </c>
      <c r="E6" s="365" t="s">
        <v>429</v>
      </c>
      <c r="F6" s="365" t="s">
        <v>430</v>
      </c>
      <c r="G6" s="366">
        <v>2000000000</v>
      </c>
      <c r="H6" s="367">
        <v>0</v>
      </c>
    </row>
    <row r="7" spans="1:18" ht="27.75" customHeight="1" x14ac:dyDescent="0.25">
      <c r="A7" s="364" t="s">
        <v>408</v>
      </c>
      <c r="B7" s="365" t="s">
        <v>282</v>
      </c>
      <c r="C7" s="365" t="s">
        <v>409</v>
      </c>
      <c r="D7" s="365" t="s">
        <v>410</v>
      </c>
      <c r="E7" s="365" t="s">
        <v>411</v>
      </c>
      <c r="F7" s="365" t="s">
        <v>412</v>
      </c>
      <c r="G7" s="366">
        <v>825000000</v>
      </c>
      <c r="H7" s="367">
        <v>0</v>
      </c>
    </row>
    <row r="8" spans="1:18" ht="34.5" customHeight="1" x14ac:dyDescent="0.25">
      <c r="A8" s="364" t="s">
        <v>454</v>
      </c>
      <c r="B8" s="365" t="s">
        <v>282</v>
      </c>
      <c r="C8" s="365" t="s">
        <v>413</v>
      </c>
      <c r="D8" s="365" t="s">
        <v>410</v>
      </c>
      <c r="E8" s="365" t="s">
        <v>414</v>
      </c>
      <c r="F8" s="365" t="s">
        <v>412</v>
      </c>
      <c r="G8" s="366">
        <v>265000000</v>
      </c>
      <c r="H8" s="367">
        <v>9805196.5999999996</v>
      </c>
    </row>
    <row r="9" spans="1:18" ht="30.75" customHeight="1" x14ac:dyDescent="0.25">
      <c r="A9" s="364" t="s">
        <v>293</v>
      </c>
      <c r="B9" s="365" t="s">
        <v>294</v>
      </c>
      <c r="C9" s="365" t="s">
        <v>420</v>
      </c>
      <c r="D9" s="365" t="s">
        <v>421</v>
      </c>
      <c r="E9" s="365" t="s">
        <v>422</v>
      </c>
      <c r="F9" s="365" t="s">
        <v>423</v>
      </c>
      <c r="G9" s="366">
        <v>103500000</v>
      </c>
      <c r="H9" s="367">
        <v>0</v>
      </c>
    </row>
    <row r="10" spans="1:18" ht="36.75" customHeight="1" x14ac:dyDescent="0.25">
      <c r="A10" s="364" t="s">
        <v>424</v>
      </c>
      <c r="B10" s="365" t="s">
        <v>294</v>
      </c>
      <c r="C10" s="365" t="s">
        <v>425</v>
      </c>
      <c r="D10" s="365" t="s">
        <v>421</v>
      </c>
      <c r="E10" s="365" t="s">
        <v>426</v>
      </c>
      <c r="F10" s="365" t="s">
        <v>423</v>
      </c>
      <c r="G10" s="366">
        <v>100000000</v>
      </c>
      <c r="H10" s="367">
        <v>0</v>
      </c>
    </row>
    <row r="11" spans="1:18" ht="30.75" customHeight="1" x14ac:dyDescent="0.25">
      <c r="A11" s="364" t="s">
        <v>452</v>
      </c>
      <c r="B11" s="365" t="s">
        <v>294</v>
      </c>
      <c r="C11" s="365" t="s">
        <v>418</v>
      </c>
      <c r="D11" s="365" t="s">
        <v>421</v>
      </c>
      <c r="E11" s="365" t="s">
        <v>419</v>
      </c>
      <c r="F11" s="365" t="s">
        <v>423</v>
      </c>
      <c r="G11" s="366">
        <v>253500000</v>
      </c>
      <c r="H11" s="367">
        <v>0</v>
      </c>
    </row>
    <row r="12" spans="1:18" ht="26.25" customHeight="1" x14ac:dyDescent="0.25">
      <c r="A12" s="364" t="s">
        <v>452</v>
      </c>
      <c r="B12" s="365" t="s">
        <v>282</v>
      </c>
      <c r="C12" s="365" t="s">
        <v>418</v>
      </c>
      <c r="D12" s="365" t="s">
        <v>410</v>
      </c>
      <c r="E12" s="365" t="s">
        <v>419</v>
      </c>
      <c r="F12" s="365" t="s">
        <v>412</v>
      </c>
      <c r="G12" s="366">
        <v>430182000</v>
      </c>
      <c r="H12" s="367">
        <v>35847851</v>
      </c>
    </row>
    <row r="13" spans="1:18" ht="26.25" customHeight="1" x14ac:dyDescent="0.25">
      <c r="A13" s="364" t="s">
        <v>415</v>
      </c>
      <c r="B13" s="365" t="s">
        <v>282</v>
      </c>
      <c r="C13" s="365" t="s">
        <v>416</v>
      </c>
      <c r="D13" s="365" t="s">
        <v>410</v>
      </c>
      <c r="E13" s="365" t="s">
        <v>417</v>
      </c>
      <c r="F13" s="365" t="s">
        <v>412</v>
      </c>
      <c r="G13" s="366">
        <v>127200000</v>
      </c>
      <c r="H13" s="367">
        <v>21199125</v>
      </c>
    </row>
    <row r="14" spans="1:18" ht="43.5" customHeight="1" x14ac:dyDescent="0.25">
      <c r="A14" s="364" t="s">
        <v>381</v>
      </c>
      <c r="B14" s="365" t="s">
        <v>380</v>
      </c>
      <c r="C14" s="365" t="s">
        <v>431</v>
      </c>
      <c r="D14" s="365" t="s">
        <v>432</v>
      </c>
      <c r="E14" s="365" t="s">
        <v>433</v>
      </c>
      <c r="F14" s="365" t="s">
        <v>434</v>
      </c>
      <c r="G14" s="366">
        <v>500000000</v>
      </c>
      <c r="H14" s="367">
        <v>456696346.89999998</v>
      </c>
    </row>
    <row r="15" spans="1:18" ht="36.75" customHeight="1" x14ac:dyDescent="0.25">
      <c r="A15" s="364" t="s">
        <v>383</v>
      </c>
      <c r="B15" s="365" t="s">
        <v>282</v>
      </c>
      <c r="C15" s="365" t="s">
        <v>435</v>
      </c>
      <c r="D15" s="365" t="s">
        <v>410</v>
      </c>
      <c r="E15" s="365" t="s">
        <v>436</v>
      </c>
      <c r="F15" s="365" t="s">
        <v>412</v>
      </c>
      <c r="G15" s="366">
        <v>234990000</v>
      </c>
      <c r="H15" s="367">
        <v>20765515.300000001</v>
      </c>
    </row>
    <row r="16" spans="1:18" ht="36.75" customHeight="1" x14ac:dyDescent="0.25">
      <c r="A16" s="364" t="s">
        <v>394</v>
      </c>
      <c r="B16" s="365" t="s">
        <v>384</v>
      </c>
      <c r="C16" s="365" t="s">
        <v>437</v>
      </c>
      <c r="D16" s="365" t="s">
        <v>438</v>
      </c>
      <c r="E16" s="365" t="s">
        <v>439</v>
      </c>
      <c r="F16" s="365" t="s">
        <v>440</v>
      </c>
      <c r="G16" s="366">
        <v>450000000</v>
      </c>
      <c r="H16" s="367">
        <v>0</v>
      </c>
    </row>
    <row r="17" spans="1:12" ht="50.25" customHeight="1" x14ac:dyDescent="0.25">
      <c r="A17" s="364" t="s">
        <v>391</v>
      </c>
      <c r="B17" s="365" t="s">
        <v>380</v>
      </c>
      <c r="C17" s="365" t="s">
        <v>427</v>
      </c>
      <c r="D17" s="365" t="s">
        <v>432</v>
      </c>
      <c r="E17" s="365" t="s">
        <v>429</v>
      </c>
      <c r="F17" s="365" t="s">
        <v>434</v>
      </c>
      <c r="G17" s="366">
        <v>1248200000</v>
      </c>
      <c r="H17" s="367">
        <v>1248200000</v>
      </c>
    </row>
    <row r="18" spans="1:12" ht="30.75" customHeight="1" x14ac:dyDescent="0.25">
      <c r="A18" s="364" t="s">
        <v>392</v>
      </c>
      <c r="B18" s="365" t="s">
        <v>282</v>
      </c>
      <c r="C18" s="365" t="s">
        <v>413</v>
      </c>
      <c r="D18" s="365" t="s">
        <v>410</v>
      </c>
      <c r="E18" s="365" t="s">
        <v>414</v>
      </c>
      <c r="F18" s="365" t="s">
        <v>412</v>
      </c>
      <c r="G18" s="366">
        <v>139373675</v>
      </c>
      <c r="H18" s="367">
        <v>139373675</v>
      </c>
    </row>
    <row r="19" spans="1:12" ht="27.75" customHeight="1" x14ac:dyDescent="0.25">
      <c r="A19" s="364" t="s">
        <v>393</v>
      </c>
      <c r="B19" s="365" t="s">
        <v>395</v>
      </c>
      <c r="C19" s="365" t="s">
        <v>441</v>
      </c>
      <c r="D19" s="365" t="s">
        <v>442</v>
      </c>
      <c r="E19" s="365" t="s">
        <v>443</v>
      </c>
      <c r="F19" s="365" t="s">
        <v>444</v>
      </c>
      <c r="G19" s="366">
        <v>900000000</v>
      </c>
      <c r="H19" s="367">
        <v>900000000</v>
      </c>
    </row>
    <row r="20" spans="1:12" ht="38.25" customHeight="1" x14ac:dyDescent="0.25">
      <c r="A20" s="364" t="s">
        <v>394</v>
      </c>
      <c r="B20" s="365" t="s">
        <v>396</v>
      </c>
      <c r="C20" s="365" t="s">
        <v>437</v>
      </c>
      <c r="D20" s="365" t="s">
        <v>445</v>
      </c>
      <c r="E20" s="365" t="s">
        <v>439</v>
      </c>
      <c r="F20" s="365" t="s">
        <v>446</v>
      </c>
      <c r="G20" s="366">
        <v>250000000</v>
      </c>
      <c r="H20" s="367">
        <v>250000000</v>
      </c>
    </row>
    <row r="21" spans="1:12" ht="38.25" customHeight="1" x14ac:dyDescent="0.25">
      <c r="A21" s="364" t="s">
        <v>415</v>
      </c>
      <c r="B21" s="365" t="s">
        <v>282</v>
      </c>
      <c r="C21" s="365" t="s">
        <v>416</v>
      </c>
      <c r="D21" s="365" t="s">
        <v>410</v>
      </c>
      <c r="E21" s="365" t="s">
        <v>417</v>
      </c>
      <c r="F21" s="365" t="s">
        <v>412</v>
      </c>
      <c r="G21" s="366">
        <v>218138000</v>
      </c>
      <c r="H21" s="367">
        <v>218138000</v>
      </c>
      <c r="I21" s="368"/>
      <c r="J21" s="368"/>
      <c r="K21" s="368"/>
      <c r="L21" s="368"/>
    </row>
    <row r="22" spans="1:12" ht="38.25" customHeight="1" x14ac:dyDescent="0.25">
      <c r="A22" s="364" t="s">
        <v>408</v>
      </c>
      <c r="B22" s="365" t="s">
        <v>282</v>
      </c>
      <c r="C22" s="365" t="s">
        <v>409</v>
      </c>
      <c r="D22" s="365" t="s">
        <v>410</v>
      </c>
      <c r="E22" s="365" t="s">
        <v>411</v>
      </c>
      <c r="F22" s="365" t="s">
        <v>412</v>
      </c>
      <c r="G22" s="366">
        <v>692955973</v>
      </c>
      <c r="H22" s="367">
        <v>692955972</v>
      </c>
      <c r="I22" s="368"/>
      <c r="J22" s="368"/>
      <c r="K22" s="368"/>
      <c r="L22" s="368"/>
    </row>
    <row r="23" spans="1:12" ht="38.25" customHeight="1" x14ac:dyDescent="0.25">
      <c r="A23" s="364" t="s">
        <v>452</v>
      </c>
      <c r="B23" s="365" t="s">
        <v>282</v>
      </c>
      <c r="C23" s="365" t="s">
        <v>418</v>
      </c>
      <c r="D23" s="365" t="s">
        <v>410</v>
      </c>
      <c r="E23" s="365" t="s">
        <v>419</v>
      </c>
      <c r="F23" s="365" t="s">
        <v>412</v>
      </c>
      <c r="G23" s="366">
        <v>674283500</v>
      </c>
      <c r="H23" s="367">
        <v>674283500</v>
      </c>
      <c r="I23" s="368"/>
      <c r="J23" s="368"/>
      <c r="K23" s="368"/>
      <c r="L23" s="368"/>
    </row>
    <row r="24" spans="1:12" ht="36" customHeight="1" thickBot="1" x14ac:dyDescent="0.3">
      <c r="A24" s="631" t="s">
        <v>447</v>
      </c>
      <c r="B24" s="632"/>
      <c r="C24" s="632" t="s">
        <v>448</v>
      </c>
      <c r="D24" s="632"/>
      <c r="E24" s="632" t="s">
        <v>449</v>
      </c>
      <c r="F24" s="632"/>
      <c r="G24" s="369"/>
      <c r="H24" s="370"/>
    </row>
    <row r="25" spans="1:12" ht="35.1" customHeight="1" x14ac:dyDescent="0.25"/>
    <row r="26" spans="1:12" ht="27.75" customHeight="1" x14ac:dyDescent="0.25"/>
    <row r="27" spans="1:12" ht="54.75" customHeight="1" x14ac:dyDescent="0.25"/>
  </sheetData>
  <mergeCells count="12">
    <mergeCell ref="A2:B2"/>
    <mergeCell ref="C2:D2"/>
    <mergeCell ref="E2:F2"/>
    <mergeCell ref="A4:B4"/>
    <mergeCell ref="C4:D4"/>
    <mergeCell ref="E4:F4"/>
    <mergeCell ref="A5:B5"/>
    <mergeCell ref="C5:D5"/>
    <mergeCell ref="E5:F5"/>
    <mergeCell ref="A24:B24"/>
    <mergeCell ref="C24:D24"/>
    <mergeCell ref="E24:F24"/>
  </mergeCells>
  <printOptions horizontalCentered="1"/>
  <pageMargins left="0.5" right="0.5" top="0.25" bottom="0.25" header="7.0000000000000007E-2" footer="0.16"/>
  <pageSetup paperSize="9" scale="40" orientation="landscape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հոկտեմբեր</vt:lpstr>
      <vt:lpstr>սեպտեմբեր</vt:lpstr>
      <vt:lpstr>օգոստոս</vt:lpstr>
      <vt:lpstr>հուլիս</vt:lpstr>
      <vt:lpstr>բյուջետային երաշխիք</vt:lpstr>
      <vt:lpstr>Government Guarantees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Sargsyan</dc:creator>
  <cp:lastModifiedBy>Lusine Grigoryan</cp:lastModifiedBy>
  <cp:lastPrinted>2023-08-01T13:36:12Z</cp:lastPrinted>
  <dcterms:created xsi:type="dcterms:W3CDTF">2021-02-19T11:33:22Z</dcterms:created>
  <dcterms:modified xsi:type="dcterms:W3CDTF">2023-11-08T06:18:45Z</dcterms:modified>
  <cp:keywords>https://mul2-minfin.gov.am/tasks/716069/oneclick/ae711896ab16b2521fd5bc74e3e1aeb3ca73ff0df49a236939e7d5a73d61790b.xlsx?token=36eba1fac92ed26a18fa371c8b824a92</cp:keywords>
</cp:coreProperties>
</file>