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3\07.2023\"/>
    </mc:Choice>
  </mc:AlternateContent>
  <bookViews>
    <workbookView xWindow="0" yWindow="0" windowWidth="28800" windowHeight="12330" firstSheet="1" activeTab="2"/>
  </bookViews>
  <sheets>
    <sheet name="Sheet1" sheetId="1" state="hidden" r:id="rId1"/>
    <sheet name="հուլիս" sheetId="19" r:id="rId2"/>
    <sheet name="բյուջետային երաշխիք" sheetId="3" r:id="rId3"/>
    <sheet name="Government Guarantees" sheetId="20" r:id="rId4"/>
  </sheets>
  <externalReferences>
    <externalReference r:id="rId5"/>
    <externalReference r:id="rId6"/>
  </externalReferences>
  <definedNames>
    <definedName name="aaa" localSheetId="1">#REF!</definedName>
    <definedName name="aaa">#REF!</definedName>
    <definedName name="ggg" localSheetId="1">#REF!</definedName>
    <definedName name="ggg">#REF!</definedName>
    <definedName name="Lus" localSheetId="1">#REF!</definedName>
    <definedName name="Lus">#REF!</definedName>
    <definedName name="Lusine" localSheetId="1">#REF!</definedName>
    <definedName name="Lusine">#REF!</definedName>
    <definedName name="Lusine1" localSheetId="1">#REF!</definedName>
    <definedName name="Lusine1">#REF!</definedName>
    <definedName name="print" localSheetId="3">#REF!</definedName>
    <definedName name="print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vlom" localSheetId="3">[1]VTB!#REF!</definedName>
    <definedName name="vlom">[1]VTB!#REF!</definedName>
    <definedName name="Z_4CEBA9DC_1F71_4AEC_B56C_2888F9D9F6A5_.wvu.Cols" localSheetId="1" hidden="1">հուլիս!$E:$J</definedName>
    <definedName name="ապրիլ" localSheetId="1">#REF!</definedName>
    <definedName name="ապրիլ">#REF!</definedName>
    <definedName name="հուլիս">#REF!</definedName>
    <definedName name="հունիս" localSheetId="1">#REF!</definedName>
    <definedName name="հունիս">#REF!</definedName>
    <definedName name="հֆգյ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H4" i="20" l="1"/>
  <c r="G4" i="20"/>
  <c r="O142" i="19" l="1"/>
  <c r="N142" i="19"/>
  <c r="P141" i="19"/>
  <c r="P140" i="19"/>
  <c r="P139" i="19"/>
  <c r="P138" i="19"/>
  <c r="P137" i="19"/>
  <c r="S136" i="19"/>
  <c r="R136" i="19"/>
  <c r="Q136" i="19"/>
  <c r="O136" i="19"/>
  <c r="N136" i="19"/>
  <c r="S135" i="19"/>
  <c r="R135" i="19"/>
  <c r="Q135" i="19"/>
  <c r="O135" i="19"/>
  <c r="N135" i="19"/>
  <c r="S133" i="19"/>
  <c r="R133" i="19"/>
  <c r="Q133" i="19"/>
  <c r="O133" i="19"/>
  <c r="N133" i="19"/>
  <c r="S132" i="19"/>
  <c r="S131" i="19"/>
  <c r="R131" i="19"/>
  <c r="R130" i="19"/>
  <c r="Q130" i="19"/>
  <c r="S130" i="19" s="1"/>
  <c r="S129" i="19"/>
  <c r="R129" i="19"/>
  <c r="S128" i="19"/>
  <c r="R128" i="19"/>
  <c r="S127" i="19"/>
  <c r="R126" i="19"/>
  <c r="Q126" i="19"/>
  <c r="S126" i="19" s="1"/>
  <c r="R125" i="19"/>
  <c r="S125" i="19" s="1"/>
  <c r="Q125" i="19"/>
  <c r="S124" i="19"/>
  <c r="R124" i="19"/>
  <c r="O124" i="19"/>
  <c r="S123" i="19"/>
  <c r="R123" i="19"/>
  <c r="R122" i="19"/>
  <c r="Q122" i="19"/>
  <c r="O122" i="19"/>
  <c r="S122" i="19" s="1"/>
  <c r="N122" i="19"/>
  <c r="R121" i="19"/>
  <c r="Q121" i="19"/>
  <c r="S121" i="19" s="1"/>
  <c r="S120" i="19"/>
  <c r="R120" i="19"/>
  <c r="R119" i="19"/>
  <c r="Q119" i="19"/>
  <c r="O119" i="19"/>
  <c r="S119" i="19" s="1"/>
  <c r="S118" i="19"/>
  <c r="R118" i="19"/>
  <c r="S117" i="19"/>
  <c r="R117" i="19"/>
  <c r="S116" i="19"/>
  <c r="S115" i="19"/>
  <c r="O115" i="19"/>
  <c r="N115" i="19"/>
  <c r="R114" i="19"/>
  <c r="Q114" i="19"/>
  <c r="S114" i="19" s="1"/>
  <c r="S113" i="19"/>
  <c r="R112" i="19"/>
  <c r="Q112" i="19"/>
  <c r="S112" i="19" s="1"/>
  <c r="S111" i="19"/>
  <c r="R111" i="19"/>
  <c r="Q111" i="19"/>
  <c r="O111" i="19"/>
  <c r="N111" i="19"/>
  <c r="S110" i="19"/>
  <c r="R110" i="19"/>
  <c r="Q110" i="19"/>
  <c r="O110" i="19"/>
  <c r="N110" i="19"/>
  <c r="S108" i="19"/>
  <c r="R108" i="19"/>
  <c r="Q108" i="19"/>
  <c r="O108" i="19"/>
  <c r="N108" i="19"/>
  <c r="S107" i="19"/>
  <c r="R107" i="19"/>
  <c r="S106" i="19"/>
  <c r="R106" i="19"/>
  <c r="S105" i="19"/>
  <c r="R105" i="19"/>
  <c r="S104" i="19"/>
  <c r="R103" i="19"/>
  <c r="Q103" i="19"/>
  <c r="O103" i="19"/>
  <c r="N103" i="19"/>
  <c r="Q102" i="19"/>
  <c r="Q109" i="19" s="1"/>
  <c r="N102" i="19"/>
  <c r="N109" i="19" s="1"/>
  <c r="S101" i="19"/>
  <c r="R101" i="19"/>
  <c r="Q101" i="19"/>
  <c r="O101" i="19"/>
  <c r="N101" i="19"/>
  <c r="O100" i="19"/>
  <c r="N100" i="19"/>
  <c r="N99" i="19"/>
  <c r="S97" i="19"/>
  <c r="R97" i="19"/>
  <c r="S96" i="19"/>
  <c r="R96" i="19"/>
  <c r="S95" i="19"/>
  <c r="S94" i="19"/>
  <c r="S93" i="19"/>
  <c r="R92" i="19"/>
  <c r="N92" i="19"/>
  <c r="R91" i="19"/>
  <c r="Q91" i="19"/>
  <c r="R90" i="19"/>
  <c r="Q89" i="19"/>
  <c r="S89" i="19" s="1"/>
  <c r="Q88" i="19"/>
  <c r="S88" i="19" s="1"/>
  <c r="Q87" i="19"/>
  <c r="S87" i="19" s="1"/>
  <c r="R86" i="19"/>
  <c r="Q86" i="19"/>
  <c r="S86" i="19" s="1"/>
  <c r="S85" i="19"/>
  <c r="S84" i="19"/>
  <c r="O83" i="19"/>
  <c r="S83" i="19" s="1"/>
  <c r="S82" i="19"/>
  <c r="S81" i="19"/>
  <c r="S80" i="19"/>
  <c r="S79" i="19"/>
  <c r="S78" i="19"/>
  <c r="O77" i="19"/>
  <c r="O76" i="19"/>
  <c r="S76" i="19" s="1"/>
  <c r="S75" i="19"/>
  <c r="R74" i="19"/>
  <c r="Q74" i="19"/>
  <c r="R73" i="19"/>
  <c r="Q73" i="19"/>
  <c r="S73" i="19" s="1"/>
  <c r="S72" i="19"/>
  <c r="R72" i="19"/>
  <c r="Q72" i="19"/>
  <c r="O72" i="19"/>
  <c r="N72" i="19"/>
  <c r="O71" i="19"/>
  <c r="N71" i="19"/>
  <c r="O70" i="19"/>
  <c r="N70" i="19"/>
  <c r="O69" i="19"/>
  <c r="N69" i="19"/>
  <c r="S68" i="19"/>
  <c r="R68" i="19"/>
  <c r="R67" i="19"/>
  <c r="Q67" i="19"/>
  <c r="S67" i="19" s="1"/>
  <c r="S66" i="19"/>
  <c r="R65" i="19"/>
  <c r="R71" i="19" s="1"/>
  <c r="Q65" i="19"/>
  <c r="R64" i="19"/>
  <c r="R69" i="19" s="1"/>
  <c r="Q64" i="19"/>
  <c r="S64" i="19" s="1"/>
  <c r="J64" i="19"/>
  <c r="S63" i="19"/>
  <c r="R62" i="19"/>
  <c r="R70" i="19" s="1"/>
  <c r="Q62" i="19"/>
  <c r="S61" i="19"/>
  <c r="R61" i="19"/>
  <c r="Q61" i="19"/>
  <c r="O61" i="19"/>
  <c r="N61" i="19"/>
  <c r="S60" i="19"/>
  <c r="R60" i="19"/>
  <c r="Q60" i="19"/>
  <c r="O60" i="19"/>
  <c r="N60" i="19"/>
  <c r="R59" i="19"/>
  <c r="O59" i="19"/>
  <c r="N59" i="19"/>
  <c r="O58" i="19"/>
  <c r="N58" i="19"/>
  <c r="S57" i="19"/>
  <c r="J57" i="19"/>
  <c r="S56" i="19"/>
  <c r="J56" i="19"/>
  <c r="R55" i="19"/>
  <c r="R58" i="19" s="1"/>
  <c r="Q55" i="19"/>
  <c r="S55" i="19" s="1"/>
  <c r="J55" i="19"/>
  <c r="Q54" i="19"/>
  <c r="S54" i="19" s="1"/>
  <c r="S59" i="19" s="1"/>
  <c r="Q53" i="19"/>
  <c r="S53" i="19" s="1"/>
  <c r="G53" i="19"/>
  <c r="J53" i="19" s="1"/>
  <c r="Q52" i="19"/>
  <c r="J52" i="19"/>
  <c r="O51" i="19"/>
  <c r="O141" i="19" s="1"/>
  <c r="N51" i="19"/>
  <c r="N141" i="19" s="1"/>
  <c r="O50" i="19"/>
  <c r="N50" i="19"/>
  <c r="O49" i="19"/>
  <c r="N48" i="19"/>
  <c r="N47" i="19"/>
  <c r="S46" i="19"/>
  <c r="R46" i="19"/>
  <c r="S45" i="19"/>
  <c r="R45" i="19"/>
  <c r="R44" i="19"/>
  <c r="Q44" i="19"/>
  <c r="O44" i="19"/>
  <c r="R43" i="19"/>
  <c r="Q43" i="19"/>
  <c r="S43" i="19" s="1"/>
  <c r="S42" i="19"/>
  <c r="R41" i="19"/>
  <c r="Q41" i="19"/>
  <c r="S41" i="19" s="1"/>
  <c r="R40" i="19"/>
  <c r="Q40" i="19"/>
  <c r="S40" i="19" s="1"/>
  <c r="R39" i="19"/>
  <c r="Q39" i="19"/>
  <c r="S39" i="19" s="1"/>
  <c r="R38" i="19"/>
  <c r="Q38" i="19"/>
  <c r="S38" i="19" s="1"/>
  <c r="S37" i="19"/>
  <c r="J37" i="19"/>
  <c r="Q36" i="19"/>
  <c r="S36" i="19" s="1"/>
  <c r="J36" i="19"/>
  <c r="Q35" i="19"/>
  <c r="S35" i="19" s="1"/>
  <c r="J35" i="19"/>
  <c r="Q34" i="19"/>
  <c r="S34" i="19" s="1"/>
  <c r="J34" i="19"/>
  <c r="R33" i="19"/>
  <c r="Q33" i="19"/>
  <c r="S33" i="19" s="1"/>
  <c r="I33" i="19"/>
  <c r="G33" i="19"/>
  <c r="F33" i="19"/>
  <c r="R32" i="19"/>
  <c r="Q32" i="19"/>
  <c r="S32" i="19" s="1"/>
  <c r="R31" i="19"/>
  <c r="Q31" i="19"/>
  <c r="S31" i="19" s="1"/>
  <c r="J31" i="19"/>
  <c r="R30" i="19"/>
  <c r="R50" i="19" s="1"/>
  <c r="R140" i="19" s="1"/>
  <c r="Q30" i="19"/>
  <c r="S30" i="19" s="1"/>
  <c r="R29" i="19"/>
  <c r="Q29" i="19"/>
  <c r="I29" i="19"/>
  <c r="G29" i="19"/>
  <c r="F29" i="19"/>
  <c r="R28" i="19"/>
  <c r="Q28" i="19"/>
  <c r="S28" i="19" s="1"/>
  <c r="R27" i="19"/>
  <c r="Q27" i="19"/>
  <c r="S27" i="19" s="1"/>
  <c r="J27" i="19"/>
  <c r="R26" i="19"/>
  <c r="Q26" i="19"/>
  <c r="S26" i="19" s="1"/>
  <c r="R25" i="19"/>
  <c r="Q25" i="19"/>
  <c r="S25" i="19" s="1"/>
  <c r="R24" i="19"/>
  <c r="Q24" i="19"/>
  <c r="S24" i="19" s="1"/>
  <c r="R23" i="19"/>
  <c r="Q23" i="19"/>
  <c r="S23" i="19" s="1"/>
  <c r="G23" i="19"/>
  <c r="J23" i="19" s="1"/>
  <c r="S22" i="19"/>
  <c r="R22" i="19"/>
  <c r="S21" i="19"/>
  <c r="R21" i="19"/>
  <c r="R20" i="19"/>
  <c r="O20" i="19"/>
  <c r="S20" i="19" s="1"/>
  <c r="S19" i="19"/>
  <c r="R19" i="19"/>
  <c r="J19" i="19"/>
  <c r="S18" i="19"/>
  <c r="S17" i="19"/>
  <c r="N17" i="19"/>
  <c r="J17" i="19"/>
  <c r="R16" i="19"/>
  <c r="Q16" i="19"/>
  <c r="S16" i="19" s="1"/>
  <c r="R15" i="19"/>
  <c r="Q15" i="19"/>
  <c r="S15" i="19" s="1"/>
  <c r="N15" i="19"/>
  <c r="G15" i="19"/>
  <c r="J15" i="19" s="1"/>
  <c r="S14" i="19"/>
  <c r="S13" i="19"/>
  <c r="R13" i="19"/>
  <c r="S12" i="19"/>
  <c r="S11" i="19"/>
  <c r="S10" i="19"/>
  <c r="R10" i="19"/>
  <c r="R9" i="19"/>
  <c r="O9" i="19"/>
  <c r="S9" i="19" s="1"/>
  <c r="J9" i="19"/>
  <c r="S8" i="19"/>
  <c r="R8" i="19"/>
  <c r="J8" i="19"/>
  <c r="R7" i="19"/>
  <c r="Q7" i="19"/>
  <c r="S7" i="19" s="1"/>
  <c r="J7" i="19"/>
  <c r="Q6" i="19"/>
  <c r="S6" i="19" s="1"/>
  <c r="J6" i="19"/>
  <c r="Q5" i="19"/>
  <c r="O5" i="19"/>
  <c r="J5" i="19"/>
  <c r="S51" i="19" l="1"/>
  <c r="S141" i="19" s="1"/>
  <c r="Q58" i="19"/>
  <c r="O47" i="19"/>
  <c r="Q50" i="19"/>
  <c r="Q140" i="19" s="1"/>
  <c r="R98" i="19"/>
  <c r="J29" i="19"/>
  <c r="S102" i="19"/>
  <c r="R109" i="19"/>
  <c r="Q70" i="19"/>
  <c r="R49" i="19"/>
  <c r="O139" i="19"/>
  <c r="N134" i="19"/>
  <c r="N138" i="19" s="1"/>
  <c r="S44" i="19"/>
  <c r="N140" i="19"/>
  <c r="Q51" i="19"/>
  <c r="Q141" i="19" s="1"/>
  <c r="S52" i="19"/>
  <c r="S58" i="19" s="1"/>
  <c r="Q69" i="19"/>
  <c r="R48" i="19"/>
  <c r="J33" i="19"/>
  <c r="O140" i="19"/>
  <c r="S5" i="19"/>
  <c r="S29" i="19"/>
  <c r="S50" i="19" s="1"/>
  <c r="S140" i="19" s="1"/>
  <c r="O48" i="19"/>
  <c r="S62" i="19"/>
  <c r="S70" i="19" s="1"/>
  <c r="R100" i="19"/>
  <c r="Q100" i="19"/>
  <c r="S142" i="19"/>
  <c r="S47" i="19"/>
  <c r="S49" i="19"/>
  <c r="S103" i="19"/>
  <c r="O109" i="19"/>
  <c r="R47" i="19"/>
  <c r="R51" i="19"/>
  <c r="R141" i="19" s="1"/>
  <c r="S69" i="19"/>
  <c r="S134" i="19"/>
  <c r="Q134" i="19"/>
  <c r="N49" i="19"/>
  <c r="N139" i="19" s="1"/>
  <c r="S65" i="19"/>
  <c r="Q71" i="19"/>
  <c r="S100" i="19"/>
  <c r="N98" i="19"/>
  <c r="N137" i="19" s="1"/>
  <c r="O92" i="19"/>
  <c r="Q49" i="19"/>
  <c r="Q48" i="19"/>
  <c r="Q47" i="19"/>
  <c r="S74" i="19"/>
  <c r="Q98" i="19"/>
  <c r="O99" i="19"/>
  <c r="S77" i="19"/>
  <c r="R99" i="19"/>
  <c r="R134" i="19"/>
  <c r="O134" i="19"/>
  <c r="S48" i="19"/>
  <c r="Q99" i="19"/>
  <c r="Q59" i="19"/>
  <c r="R137" i="19" l="1"/>
  <c r="R138" i="19"/>
  <c r="R139" i="19"/>
  <c r="Q137" i="19"/>
  <c r="O138" i="19"/>
  <c r="S99" i="19"/>
  <c r="Q138" i="19"/>
  <c r="S92" i="19"/>
  <c r="O98" i="19"/>
  <c r="O137" i="19" s="1"/>
  <c r="S109" i="19"/>
  <c r="Q139" i="19"/>
  <c r="S71" i="19"/>
  <c r="S139" i="19" s="1"/>
  <c r="S138" i="19" l="1"/>
  <c r="S98" i="19"/>
  <c r="S137" i="19" s="1"/>
  <c r="D24" i="3" l="1"/>
  <c r="F2" i="1" l="1"/>
  <c r="F3" i="1"/>
</calcChain>
</file>

<file path=xl/sharedStrings.xml><?xml version="1.0" encoding="utf-8"?>
<sst xmlns="http://schemas.openxmlformats.org/spreadsheetml/2006/main" count="951" uniqueCount="473">
  <si>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</si>
  <si>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</si>
  <si>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</si>
  <si>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</si>
  <si>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</si>
  <si>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</si>
  <si>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</si>
  <si>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</si>
  <si>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</si>
  <si>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</si>
  <si>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</si>
  <si>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</si>
  <si>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</si>
  <si>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</si>
  <si>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</si>
  <si>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</si>
  <si>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</si>
  <si>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</si>
  <si>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</si>
  <si>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</si>
  <si>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</si>
  <si>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</si>
  <si>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</si>
  <si>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</si>
  <si>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</si>
  <si>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</si>
  <si>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</si>
  <si>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</si>
  <si>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</si>
  <si>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</si>
  <si>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</si>
  <si>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</si>
  <si>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</si>
  <si>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</si>
  <si>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</si>
  <si>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</si>
  <si>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</si>
  <si>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</si>
  <si>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</si>
  <si>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</si>
  <si>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</si>
  <si>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</si>
  <si>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</si>
  <si>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</si>
  <si>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</si>
  <si>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</si>
  <si>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</si>
  <si>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</si>
  <si>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</si>
  <si>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</si>
  <si>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</si>
  <si>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</si>
  <si>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</si>
  <si>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</si>
  <si>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</si>
  <si>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</si>
  <si>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</si>
  <si>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</si>
  <si>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</si>
  <si>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</si>
  <si>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</si>
  <si>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</si>
  <si>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</si>
  <si>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</si>
  <si>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</si>
  <si>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</si>
  <si>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</si>
  <si>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</si>
  <si>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</si>
  <si>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</si>
  <si>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</si>
  <si>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</si>
  <si>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</si>
  <si>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</si>
  <si>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</si>
  <si>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</si>
  <si>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</si>
  <si>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</si>
  <si>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</si>
  <si>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</si>
  <si>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</si>
  <si>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</si>
  <si>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</si>
  <si>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</si>
  <si>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</si>
  <si>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</si>
  <si>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</si>
  <si>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</si>
  <si>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</si>
  <si>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</si>
  <si>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</si>
  <si>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</si>
  <si>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</si>
  <si>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</si>
  <si>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</si>
  <si>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</si>
  <si>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</si>
  <si>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</si>
  <si>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</si>
  <si>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</si>
  <si>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</si>
  <si>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</si>
  <si>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</si>
  <si>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</si>
  <si>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</si>
  <si>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</si>
  <si>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</si>
  <si>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</si>
  <si>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</si>
  <si>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</si>
  <si>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</si>
  <si>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</si>
  <si>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</si>
  <si>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</si>
  <si>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</si>
  <si>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</si>
  <si>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</si>
  <si>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</si>
  <si>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</si>
  <si>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</si>
  <si>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</si>
  <si>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</si>
  <si>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</si>
  <si>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</si>
  <si>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</si>
  <si>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</si>
  <si>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</si>
  <si>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</si>
  <si>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</si>
  <si>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</si>
  <si>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</si>
  <si>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</si>
  <si>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</si>
  <si>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</si>
  <si>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</si>
  <si>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</si>
  <si>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</si>
  <si>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</si>
  <si>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</si>
  <si>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</si>
  <si>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</si>
  <si>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</si>
  <si>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</si>
  <si>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</si>
  <si>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</si>
  <si>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</si>
  <si>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</si>
  <si>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</si>
  <si>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</si>
  <si>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</si>
  <si>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</si>
  <si>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</si>
  <si>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</si>
  <si>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</si>
  <si>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</si>
  <si>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</si>
  <si>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</si>
  <si>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</si>
  <si>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</si>
  <si>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</si>
  <si>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</si>
  <si>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</si>
  <si>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</si>
  <si>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</si>
  <si>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</si>
  <si>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</si>
  <si>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</si>
  <si>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</si>
  <si>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</si>
  <si>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</si>
  <si>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</si>
  <si>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</si>
  <si>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</si>
  <si>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</si>
  <si>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</si>
  <si>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</si>
  <si>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</si>
  <si>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</si>
  <si>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</si>
  <si>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</si>
  <si>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</si>
  <si>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</si>
  <si>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</si>
  <si>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</si>
  <si>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</si>
  <si>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</si>
  <si>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</si>
  <si>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</si>
  <si>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</si>
  <si>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</si>
  <si>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</si>
  <si>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</si>
  <si>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</si>
  <si>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</si>
  <si>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</si>
  <si>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</si>
  <si>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</si>
  <si>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</si>
  <si>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</si>
  <si>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</si>
  <si>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</si>
  <si>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</si>
  <si>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</si>
  <si>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</si>
  <si>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</si>
  <si>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</si>
  <si>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</si>
  <si>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</si>
  <si>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</si>
  <si>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</si>
  <si>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</si>
  <si>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</si>
  <si>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</si>
  <si>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</si>
  <si>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</si>
  <si>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</si>
  <si>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</si>
  <si>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</si>
  <si>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</si>
  <si>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</si>
  <si>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</si>
  <si>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</si>
  <si>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</si>
  <si>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</si>
  <si>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</si>
  <si>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</si>
  <si>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</si>
  <si>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</si>
  <si>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</si>
  <si>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</si>
  <si>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</si>
  <si>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</si>
  <si>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</si>
  <si>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</si>
  <si>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</si>
  <si>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</si>
  <si>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</si>
  <si>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</si>
  <si>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</si>
  <si>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</si>
  <si>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</si>
  <si>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</si>
  <si>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</si>
  <si>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</si>
  <si>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</si>
  <si>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</si>
  <si>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</si>
  <si>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</si>
  <si>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</si>
  <si>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</si>
  <si>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</si>
  <si>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</si>
  <si>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</si>
  <si>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</si>
  <si>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</si>
  <si>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</si>
  <si>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</si>
  <si>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</si>
  <si>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</si>
  <si>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</si>
  <si>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</si>
  <si>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</si>
  <si>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</si>
  <si>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</si>
  <si>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</si>
  <si>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</si>
  <si>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</si>
  <si>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</si>
  <si>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</si>
  <si>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</si>
  <si>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</si>
  <si>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</si>
  <si>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</si>
  <si>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</si>
  <si>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</si>
  <si>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</si>
  <si>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</si>
  <si>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</si>
  <si>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</si>
  <si>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</si>
  <si>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</si>
  <si>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</si>
  <si>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</si>
  <si>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«ՀԱՅԷԿՈՆՈՄԲԱՆԿ» ԲԲԸ</t>
  </si>
  <si>
    <t>15.10.2023թ.</t>
  </si>
  <si>
    <t>Ընդամենը</t>
  </si>
  <si>
    <t>22.10.2023թ.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</si>
  <si>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</si>
  <si>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</si>
  <si>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</si>
  <si>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</si>
  <si>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</si>
  <si>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</si>
  <si>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</si>
  <si>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</si>
  <si>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</si>
  <si>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</si>
  <si>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</si>
  <si>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</si>
  <si>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</si>
  <si>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</si>
  <si>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</si>
  <si>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</si>
  <si>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</si>
  <si>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</si>
  <si>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</si>
  <si>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</si>
  <si>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</si>
  <si>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</si>
  <si>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</si>
  <si>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</si>
  <si>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</si>
  <si>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</si>
  <si>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</si>
  <si>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</si>
  <si>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</si>
  <si>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</si>
  <si>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</si>
  <si>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</si>
  <si>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</si>
  <si>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</si>
  <si>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</si>
  <si>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</si>
  <si>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</si>
  <si>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</si>
  <si>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</si>
  <si>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</si>
  <si>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</si>
  <si>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</si>
  <si>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</si>
  <si>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</si>
  <si>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</si>
  <si>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</si>
  <si>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</si>
  <si>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</si>
  <si>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</si>
  <si>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</si>
  <si>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</si>
  <si>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</si>
  <si>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</si>
  <si>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</si>
  <si>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</si>
  <si>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</si>
  <si>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</si>
  <si>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</si>
  <si>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</si>
  <si>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</si>
  <si>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</si>
  <si>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</si>
  <si>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</si>
  <si>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</si>
  <si>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</si>
  <si>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</si>
  <si>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</si>
  <si>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</si>
  <si>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</si>
  <si>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</si>
  <si>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</si>
  <si>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</si>
  <si>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</si>
  <si>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</si>
  <si>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</si>
  <si>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</si>
  <si>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</si>
  <si>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</si>
  <si>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</si>
  <si>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</si>
  <si>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</si>
  <si>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</si>
  <si>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</si>
  <si>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</si>
  <si>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</si>
  <si>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</si>
  <si>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</si>
  <si>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</si>
  <si>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</si>
  <si>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</si>
  <si>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</si>
  <si>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</si>
  <si>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</si>
  <si>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</si>
  <si>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</si>
  <si>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</si>
  <si>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 xml:space="preserve">«ԵՐԵՎԱՆԻ ՇՈԿՈԼԱԴԻ ԳՈՐԾԱՐԱՆ» ՓԲԸ 
</t>
  </si>
  <si>
    <t>«ԱԿԲԱ ԲԱՆԿ» ԲԲԸ</t>
  </si>
  <si>
    <t>13.01.2024թ.</t>
  </si>
  <si>
    <t>24.01.2026թ.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</si>
  <si>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</si>
  <si>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</si>
  <si>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</si>
  <si>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</si>
  <si>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</si>
  <si>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</si>
  <si>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</si>
  <si>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</si>
  <si>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</si>
  <si>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</si>
  <si>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</si>
  <si>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</si>
  <si>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</si>
  <si>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</si>
  <si>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</si>
  <si>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</si>
  <si>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</si>
  <si>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</si>
  <si>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</si>
  <si>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</si>
  <si>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</si>
  <si>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</si>
  <si>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</si>
  <si>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</si>
  <si>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</si>
  <si>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</si>
  <si>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</si>
  <si>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</si>
  <si>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</si>
  <si>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</si>
  <si>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</si>
  <si>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</si>
  <si>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</si>
  <si>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</si>
  <si>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</si>
  <si>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</si>
  <si>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</si>
  <si>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</si>
  <si>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</si>
  <si>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</si>
  <si>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</si>
  <si>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</si>
  <si>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</si>
  <si>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</si>
  <si>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</si>
  <si>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</si>
  <si>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</si>
  <si>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</si>
  <si>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</si>
  <si>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</si>
  <si>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</si>
  <si>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</si>
  <si>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</si>
  <si>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</si>
  <si>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</si>
  <si>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</si>
  <si>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</si>
  <si>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</si>
  <si>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</si>
  <si>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</si>
  <si>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</si>
  <si>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</si>
  <si>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</si>
  <si>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</si>
  <si>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</si>
  <si>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</si>
  <si>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</si>
  <si>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>«ԵՐԱՍԽԻ ԳԻՆՈՒ ԳՈՐԾԱՐԱՆ»  ՍՊԸ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</si>
  <si>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</si>
  <si>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</si>
  <si>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</si>
  <si>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</si>
  <si>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</si>
  <si>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</si>
  <si>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</si>
  <si>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</si>
  <si>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</si>
  <si>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</si>
  <si>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</si>
  <si>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</si>
  <si>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</si>
  <si>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</si>
  <si>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</si>
  <si>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11 հատ տրանսպորտային միջոց և 19 հատ շին.տեխնիկա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</si>
  <si>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31.07.2023թ. դրությամբ 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</si>
  <si>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31.07.23թ.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</si>
</sst>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  <numFmt numFmtId="172" formatCode="_(* #,##0.0_);_(* \(#,##0.0\);_(* &quot;-&quot;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b/>
      <sz val="13"/>
      <color theme="1"/>
      <name val="GHEA Grapalat"/>
      <family val="3"/>
    </font>
    <font>
      <b/>
      <sz val="10"/>
      <color theme="1"/>
      <name val="GHEA Grapalat"/>
      <family val="3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i/>
      <sz val="14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29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43" fontId="9" fillId="2" borderId="0" xfId="2" applyFont="1" applyFill="1" applyAlignment="1" applyProtection="1"/>
    <xf numFmtId="0" fontId="9" fillId="2" borderId="0" xfId="1" applyFont="1" applyFill="1" applyAlignment="1" applyProtection="1"/>
    <xf numFmtId="43" fontId="10" fillId="2" borderId="0" xfId="2" applyFont="1" applyFill="1" applyProtection="1"/>
    <xf numFmtId="0" fontId="10" fillId="2" borderId="0" xfId="1" applyFont="1" applyFill="1" applyProtection="1"/>
    <xf numFmtId="43" fontId="2" fillId="2" borderId="0" xfId="2" applyFont="1" applyFill="1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Continuous"/>
    </xf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9" fillId="2" borderId="14" xfId="4" applyNumberFormat="1" applyFont="1" applyFill="1" applyBorder="1" applyAlignment="1" applyProtection="1">
      <alignment vertical="center"/>
    </xf>
    <xf numFmtId="165" fontId="9" fillId="2" borderId="2" xfId="4" applyNumberFormat="1" applyFont="1" applyFill="1" applyBorder="1" applyAlignment="1" applyProtection="1">
      <alignment vertical="center"/>
    </xf>
    <xf numFmtId="165" fontId="9" fillId="2" borderId="10" xfId="4" applyNumberFormat="1" applyFont="1" applyFill="1" applyBorder="1" applyAlignment="1" applyProtection="1">
      <alignment vertical="center"/>
    </xf>
    <xf numFmtId="165" fontId="9" fillId="2" borderId="17" xfId="4" applyNumberFormat="1" applyFont="1" applyFill="1" applyBorder="1" applyAlignment="1" applyProtection="1">
      <alignment vertical="center"/>
    </xf>
    <xf numFmtId="165" fontId="9" fillId="2" borderId="3" xfId="4" applyNumberFormat="1" applyFont="1" applyFill="1" applyBorder="1" applyAlignment="1" applyProtection="1">
      <alignment vertical="center"/>
    </xf>
    <xf numFmtId="43" fontId="10" fillId="2" borderId="0" xfId="9" applyFont="1" applyFill="1" applyProtection="1"/>
    <xf numFmtId="0" fontId="2" fillId="2" borderId="7" xfId="1" applyFont="1" applyFill="1" applyBorder="1" applyAlignment="1" applyProtection="1">
      <alignment horizontal="center" vertical="center" wrapText="1"/>
    </xf>
    <xf numFmtId="165" fontId="9" fillId="2" borderId="0" xfId="4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71" fontId="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0" fontId="9" fillId="2" borderId="19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0" fontId="9" fillId="2" borderId="20" xfId="1" quotePrefix="1" applyNumberFormat="1" applyFont="1" applyFill="1" applyBorder="1" applyAlignment="1" applyProtection="1">
      <alignment horizontal="center" vertical="center" wrapText="1"/>
    </xf>
    <xf numFmtId="10" fontId="9" fillId="2" borderId="20" xfId="6" applyNumberFormat="1" applyFont="1" applyFill="1" applyBorder="1" applyAlignment="1" applyProtection="1">
      <alignment horizontal="center" vertical="center" wrapText="1"/>
    </xf>
    <xf numFmtId="0" fontId="9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9" fillId="2" borderId="17" xfId="1" applyNumberFormat="1" applyFont="1" applyFill="1" applyBorder="1" applyAlignment="1" applyProtection="1">
      <alignment vertical="center"/>
    </xf>
    <xf numFmtId="165" fontId="9" fillId="2" borderId="33" xfId="4" applyNumberFormat="1" applyFont="1" applyFill="1" applyBorder="1" applyAlignment="1" applyProtection="1">
      <alignment vertical="center"/>
    </xf>
    <xf numFmtId="2" fontId="9" fillId="2" borderId="2" xfId="1" applyNumberFormat="1" applyFont="1" applyFill="1" applyBorder="1" applyAlignment="1" applyProtection="1">
      <alignment vertical="center"/>
    </xf>
    <xf numFmtId="165" fontId="9" fillId="2" borderId="31" xfId="4" applyNumberFormat="1" applyFont="1" applyFill="1" applyBorder="1" applyAlignment="1" applyProtection="1">
      <alignment vertical="center"/>
    </xf>
    <xf numFmtId="2" fontId="9" fillId="2" borderId="1" xfId="1" applyNumberFormat="1" applyFont="1" applyFill="1" applyBorder="1" applyAlignment="1" applyProtection="1">
      <alignment vertical="center"/>
    </xf>
    <xf numFmtId="165" fontId="9" fillId="2" borderId="15" xfId="4" applyNumberFormat="1" applyFont="1" applyFill="1" applyBorder="1" applyAlignment="1" applyProtection="1">
      <alignment vertical="center"/>
    </xf>
    <xf numFmtId="165" fontId="9" fillId="2" borderId="32" xfId="4" applyNumberFormat="1" applyFont="1" applyFill="1" applyBorder="1" applyAlignment="1" applyProtection="1">
      <alignment vertical="center"/>
    </xf>
    <xf numFmtId="2" fontId="9" fillId="2" borderId="10" xfId="1" applyNumberFormat="1" applyFont="1" applyFill="1" applyBorder="1" applyAlignment="1" applyProtection="1">
      <alignment vertical="center"/>
    </xf>
    <xf numFmtId="165" fontId="9" fillId="2" borderId="34" xfId="4" applyNumberFormat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1" fontId="2" fillId="2" borderId="31" xfId="1" applyNumberFormat="1" applyFont="1" applyFill="1" applyBorder="1" applyAlignment="1" applyProtection="1">
      <alignment horizontal="center" vertical="center" wrapText="1"/>
    </xf>
    <xf numFmtId="9" fontId="10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9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9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2" applyNumberFormat="1" applyFont="1" applyFill="1" applyBorder="1" applyAlignment="1" applyProtection="1">
      <alignment horizontal="left" vertical="center" wrapText="1"/>
    </xf>
    <xf numFmtId="10" fontId="2" fillId="2" borderId="10" xfId="6" applyNumberFormat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65" fontId="9" fillId="2" borderId="38" xfId="4" applyNumberFormat="1" applyFont="1" applyFill="1" applyBorder="1" applyAlignment="1" applyProtection="1">
      <alignment vertical="center"/>
    </xf>
    <xf numFmtId="2" fontId="9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1" fontId="14" fillId="2" borderId="0" xfId="1" applyNumberFormat="1" applyFont="1" applyFill="1" applyBorder="1" applyAlignment="1" applyProtection="1">
      <alignment horizontal="center" vertical="center" wrapText="1"/>
    </xf>
    <xf numFmtId="2" fontId="9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" fontId="11" fillId="2" borderId="0" xfId="1" applyNumberFormat="1" applyFont="1" applyFill="1" applyAlignment="1" applyProtection="1">
      <alignment horizontal="center"/>
    </xf>
    <xf numFmtId="0" fontId="11" fillId="2" borderId="0" xfId="1" applyFont="1" applyFill="1" applyProtection="1"/>
    <xf numFmtId="0" fontId="2" fillId="2" borderId="0" xfId="1" applyNumberFormat="1" applyFont="1" applyFill="1" applyProtection="1"/>
    <xf numFmtId="2" fontId="9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0" fontId="11" fillId="2" borderId="0" xfId="1" applyNumberFormat="1" applyFont="1" applyFill="1" applyProtection="1"/>
    <xf numFmtId="165" fontId="2" fillId="2" borderId="0" xfId="9" applyNumberFormat="1" applyFont="1" applyFill="1" applyProtection="1"/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9" fontId="17" fillId="0" borderId="17" xfId="12" applyNumberFormat="1" applyFont="1" applyFill="1" applyBorder="1" applyAlignment="1">
      <alignment horizontal="center" vertical="center" wrapText="1"/>
    </xf>
    <xf numFmtId="169" fontId="17" fillId="0" borderId="33" xfId="12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9" fontId="15" fillId="0" borderId="2" xfId="12" applyNumberFormat="1" applyFont="1" applyFill="1" applyBorder="1" applyAlignment="1">
      <alignment horizontal="center" vertical="center" wrapText="1"/>
    </xf>
    <xf numFmtId="169" fontId="15" fillId="0" borderId="31" xfId="12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169" fontId="15" fillId="0" borderId="2" xfId="12" applyNumberFormat="1" applyFont="1" applyFill="1" applyBorder="1" applyAlignment="1">
      <alignment horizontal="justify" vertical="center" wrapText="1"/>
    </xf>
    <xf numFmtId="169" fontId="15" fillId="0" borderId="31" xfId="12" applyNumberFormat="1" applyFont="1" applyFill="1" applyBorder="1" applyAlignment="1">
      <alignment horizontal="justify" vertical="center" wrapText="1"/>
    </xf>
    <xf numFmtId="169" fontId="15" fillId="0" borderId="0" xfId="12" applyNumberFormat="1" applyFont="1" applyFill="1" applyBorder="1" applyAlignment="1">
      <alignment horizontal="justify" vertical="center" wrapText="1"/>
    </xf>
    <xf numFmtId="165" fontId="15" fillId="0" borderId="10" xfId="12" applyNumberFormat="1" applyFont="1" applyFill="1" applyBorder="1" applyAlignment="1">
      <alignment horizontal="justify" vertical="center" wrapText="1"/>
    </xf>
    <xf numFmtId="0" fontId="15" fillId="0" borderId="34" xfId="0" applyFont="1" applyFill="1" applyBorder="1" applyAlignment="1">
      <alignment horizontal="justify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12" fillId="2" borderId="0" xfId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67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0" fontId="2" fillId="2" borderId="39" xfId="1" applyFont="1" applyFill="1" applyBorder="1" applyAlignment="1" applyProtection="1">
      <alignment horizontal="center" vertical="center" wrapText="1"/>
    </xf>
    <xf numFmtId="10" fontId="2" fillId="2" borderId="23" xfId="6" applyNumberFormat="1" applyFont="1" applyFill="1" applyBorder="1" applyAlignment="1" applyProtection="1">
      <alignment horizontal="center" vertical="center" wrapText="1"/>
    </xf>
    <xf numFmtId="1" fontId="14" fillId="2" borderId="35" xfId="1" applyNumberFormat="1" applyFont="1" applyFill="1" applyBorder="1" applyAlignment="1" applyProtection="1">
      <alignment horizontal="center" vertical="center" wrapText="1"/>
    </xf>
    <xf numFmtId="1" fontId="14" fillId="2" borderId="17" xfId="1" applyNumberFormat="1" applyFont="1" applyFill="1" applyBorder="1" applyAlignment="1" applyProtection="1">
      <alignment horizontal="center" vertical="center" wrapText="1"/>
    </xf>
    <xf numFmtId="1" fontId="14" fillId="2" borderId="7" xfId="1" applyNumberFormat="1" applyFont="1" applyFill="1" applyBorder="1" applyAlignment="1" applyProtection="1">
      <alignment horizontal="center" vertical="center" wrapText="1"/>
    </xf>
    <xf numFmtId="1" fontId="14" fillId="2" borderId="2" xfId="1" applyNumberFormat="1" applyFont="1" applyFill="1" applyBorder="1" applyAlignment="1" applyProtection="1">
      <alignment horizontal="center" vertical="center" wrapText="1"/>
    </xf>
    <xf numFmtId="2" fontId="9" fillId="2" borderId="17" xfId="1" applyNumberFormat="1" applyFont="1" applyFill="1" applyBorder="1" applyAlignment="1" applyProtection="1">
      <alignment horizontal="center" vertical="center"/>
    </xf>
    <xf numFmtId="2" fontId="9" fillId="2" borderId="2" xfId="1" applyNumberFormat="1" applyFont="1" applyFill="1" applyBorder="1" applyAlignment="1" applyProtection="1">
      <alignment horizontal="center" vertical="center"/>
    </xf>
    <xf numFmtId="2" fontId="9" fillId="2" borderId="1" xfId="1" applyNumberFormat="1" applyFont="1" applyFill="1" applyBorder="1" applyAlignment="1" applyProtection="1">
      <alignment horizontal="center" vertical="center"/>
    </xf>
    <xf numFmtId="2" fontId="9" fillId="2" borderId="36" xfId="1" applyNumberFormat="1" applyFont="1" applyFill="1" applyBorder="1" applyAlignment="1" applyProtection="1">
      <alignment horizontal="center" vertical="center"/>
    </xf>
    <xf numFmtId="2" fontId="9" fillId="2" borderId="30" xfId="1" applyNumberFormat="1" applyFont="1" applyFill="1" applyBorder="1" applyAlignment="1" applyProtection="1">
      <alignment horizontal="center" vertical="center"/>
    </xf>
    <xf numFmtId="2" fontId="9" fillId="2" borderId="13" xfId="1" applyNumberFormat="1" applyFont="1" applyFill="1" applyBorder="1" applyAlignment="1" applyProtection="1">
      <alignment horizontal="center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1" fontId="14" fillId="2" borderId="8" xfId="1" applyNumberFormat="1" applyFont="1" applyFill="1" applyBorder="1" applyAlignment="1" applyProtection="1">
      <alignment horizontal="center" vertical="center" wrapText="1"/>
    </xf>
    <xf numFmtId="1" fontId="14" fillId="2" borderId="10" xfId="1" applyNumberFormat="1" applyFont="1" applyFill="1" applyBorder="1" applyAlignment="1" applyProtection="1">
      <alignment horizontal="center" vertical="center" wrapText="1"/>
    </xf>
    <xf numFmtId="2" fontId="9" fillId="2" borderId="10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1" fontId="14" fillId="2" borderId="9" xfId="1" applyNumberFormat="1" applyFont="1" applyFill="1" applyBorder="1" applyAlignment="1" applyProtection="1">
      <alignment horizontal="center" vertical="center" wrapText="1"/>
    </xf>
    <xf numFmtId="1" fontId="14" fillId="2" borderId="3" xfId="1" applyNumberFormat="1" applyFont="1" applyFill="1" applyBorder="1" applyAlignment="1" applyProtection="1">
      <alignment horizontal="center" vertical="center" wrapText="1"/>
    </xf>
    <xf numFmtId="2" fontId="9" fillId="2" borderId="27" xfId="1" applyNumberFormat="1" applyFont="1" applyFill="1" applyBorder="1" applyAlignment="1" applyProtection="1">
      <alignment horizontal="center" vertical="center"/>
    </xf>
    <xf numFmtId="2" fontId="9" fillId="2" borderId="4" xfId="1" applyNumberFormat="1" applyFont="1" applyFill="1" applyBorder="1" applyAlignment="1" applyProtection="1">
      <alignment horizontal="center" vertical="center"/>
    </xf>
    <xf numFmtId="2" fontId="9" fillId="2" borderId="26" xfId="1" applyNumberFormat="1" applyFont="1" applyFill="1" applyBorder="1" applyAlignment="1" applyProtection="1">
      <alignment horizontal="center" vertical="center"/>
    </xf>
    <xf numFmtId="2" fontId="9" fillId="2" borderId="16" xfId="1" applyNumberFormat="1" applyFont="1" applyFill="1" applyBorder="1" applyAlignment="1" applyProtection="1">
      <alignment horizontal="center" vertical="center"/>
    </xf>
    <xf numFmtId="2" fontId="9" fillId="2" borderId="28" xfId="1" applyNumberFormat="1" applyFont="1" applyFill="1" applyBorder="1" applyAlignment="1" applyProtection="1">
      <alignment horizontal="center" vertical="center"/>
    </xf>
    <xf numFmtId="2" fontId="9" fillId="2" borderId="12" xfId="1" applyNumberFormat="1" applyFont="1" applyFill="1" applyBorder="1" applyAlignment="1" applyProtection="1">
      <alignment horizontal="center" vertical="center"/>
    </xf>
    <xf numFmtId="0" fontId="1" fillId="2" borderId="23" xfId="1" applyFont="1" applyFill="1" applyBorder="1" applyAlignment="1" applyProtection="1">
      <alignment horizontal="center" vertical="center" wrapText="1"/>
    </xf>
    <xf numFmtId="2" fontId="9" fillId="2" borderId="24" xfId="1" applyNumberFormat="1" applyFont="1" applyFill="1" applyBorder="1" applyAlignment="1" applyProtection="1">
      <alignment horizontal="center" vertical="center"/>
    </xf>
    <xf numFmtId="1" fontId="14" fillId="2" borderId="11" xfId="1" applyNumberFormat="1" applyFont="1" applyFill="1" applyBorder="1" applyAlignment="1" applyProtection="1">
      <alignment horizontal="center" vertical="center" wrapText="1"/>
    </xf>
    <xf numFmtId="1" fontId="14" fillId="2" borderId="1" xfId="1" applyNumberFormat="1" applyFont="1" applyFill="1" applyBorder="1" applyAlignment="1" applyProtection="1">
      <alignment horizontal="center" vertical="center" wrapText="1"/>
    </xf>
    <xf numFmtId="1" fontId="14" fillId="2" borderId="33" xfId="1" applyNumberFormat="1" applyFont="1" applyFill="1" applyBorder="1" applyAlignment="1" applyProtection="1">
      <alignment horizontal="center" vertical="center" wrapText="1"/>
    </xf>
    <xf numFmtId="1" fontId="14" fillId="2" borderId="31" xfId="1" applyNumberFormat="1" applyFont="1" applyFill="1" applyBorder="1" applyAlignment="1" applyProtection="1">
      <alignment horizontal="center" vertical="center" wrapText="1"/>
    </xf>
    <xf numFmtId="1" fontId="14" fillId="2" borderId="32" xfId="1" applyNumberFormat="1" applyFont="1" applyFill="1" applyBorder="1" applyAlignment="1" applyProtection="1">
      <alignment horizontal="center" vertical="center" wrapText="1"/>
    </xf>
    <xf numFmtId="2" fontId="9" fillId="2" borderId="3" xfId="1" applyNumberFormat="1" applyFont="1" applyFill="1" applyBorder="1" applyAlignment="1" applyProtection="1">
      <alignment horizontal="center" vertical="center"/>
    </xf>
    <xf numFmtId="2" fontId="9" fillId="2" borderId="25" xfId="1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 applyAlignment="1">
      <alignment horizontal="center" vertical="center" wrapText="1"/>
    </xf>
    <xf numFmtId="169" fontId="20" fillId="0" borderId="2" xfId="2" applyNumberFormat="1" applyFont="1" applyBorder="1" applyAlignment="1">
      <alignment horizontal="center" vertical="center" wrapText="1"/>
    </xf>
    <xf numFmtId="172" fontId="19" fillId="0" borderId="0" xfId="0" applyNumberFormat="1" applyFont="1"/>
    <xf numFmtId="169" fontId="20" fillId="0" borderId="2" xfId="5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9" fontId="21" fillId="0" borderId="2" xfId="0" applyNumberFormat="1" applyFont="1" applyBorder="1" applyAlignment="1">
      <alignment horizontal="center" vertical="center" wrapText="1"/>
    </xf>
    <xf numFmtId="43" fontId="19" fillId="0" borderId="0" xfId="0" applyNumberFormat="1" applyFont="1"/>
    <xf numFmtId="0" fontId="2" fillId="0" borderId="0" xfId="0" applyFont="1"/>
    <xf numFmtId="0" fontId="2" fillId="0" borderId="0" xfId="0" applyFont="1" applyBorder="1"/>
  </cellXfs>
  <cellStyles count="17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Normal 4" xfId="16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sine\Varker\Metropoliten_OK\Metropoliten%202011%20ENB%205%20mln\Metropoliten%20hashvark%20EN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hvark 03.05.11 (2)"/>
      <sheetName val="Hashvark 03.05.11"/>
      <sheetName val="Marum"/>
      <sheetName val="900005061545"/>
      <sheetName val="900005210134"/>
      <sheetName val="Pajmanagrer"/>
    </sheetNames>
    <sheetDataSet>
      <sheetData sheetId="0"/>
      <sheetData sheetId="1">
        <row r="87">
          <cell r="M87">
            <v>345323.66296241392</v>
          </cell>
          <cell r="T87">
            <v>96699.773449097236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88" t="s">
        <v>16</v>
      </c>
      <c r="B1" s="188"/>
      <c r="C1" s="188"/>
      <c r="D1" s="188"/>
      <c r="E1" s="188"/>
      <c r="F1" s="188"/>
      <c r="G1" s="188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86" t="s">
        <v>0</v>
      </c>
      <c r="B5" s="186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87"/>
      <c r="B6" s="187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79" sqref="O79"/>
    </sheetView>
  </sheetViews>
  <sheetFormatPr defaultRowHeight="13.5" outlineLevelRow="1" x14ac:dyDescent="0.25"/>
  <cols>
    <col min="1" max="1" width="6.85546875" style="17" customWidth="1"/>
    <col min="2" max="2" width="23.7109375" style="33" customWidth="1"/>
    <col min="3" max="3" width="23.42578125" style="17" customWidth="1"/>
    <col min="4" max="4" width="16.140625" style="17" customWidth="1"/>
    <col min="5" max="10" width="16.140625" style="17" hidden="1" customWidth="1"/>
    <col min="11" max="11" width="18.85546875" style="160" customWidth="1"/>
    <col min="12" max="12" width="20.140625" style="17" customWidth="1"/>
    <col min="13" max="13" width="16.42578125" style="17" bestFit="1" customWidth="1"/>
    <col min="14" max="14" width="19.7109375" style="17" customWidth="1"/>
    <col min="15" max="15" width="20.28515625" style="17" customWidth="1"/>
    <col min="16" max="16" width="21.7109375" style="162" customWidth="1"/>
    <col min="17" max="17" width="18.5703125" style="17" customWidth="1"/>
    <col min="18" max="18" width="18.85546875" style="17" bestFit="1" customWidth="1"/>
    <col min="19" max="19" width="26.7109375" style="17" bestFit="1" customWidth="1"/>
    <col min="20" max="20" width="26.42578125" style="17" customWidth="1"/>
    <col min="21" max="21" width="23.5703125" style="16" customWidth="1"/>
    <col min="22" max="22" width="21.85546875" style="17" customWidth="1"/>
    <col min="23" max="16384" width="9.140625" style="17"/>
  </cols>
  <sheetData>
    <row r="1" spans="1:22" ht="22.5" x14ac:dyDescent="0.4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2" ht="49.5" customHeight="1" x14ac:dyDescent="0.4">
      <c r="A2" s="190" t="s">
        <v>471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2" ht="14.25" thickBot="1" x14ac:dyDescent="0.3">
      <c r="A3" s="18"/>
      <c r="C3" s="18"/>
      <c r="D3" s="18"/>
      <c r="E3" s="18"/>
      <c r="F3" s="18"/>
      <c r="G3" s="18"/>
      <c r="H3" s="18"/>
      <c r="I3" s="18"/>
      <c r="J3" s="18"/>
      <c r="K3" s="34"/>
      <c r="L3" s="18"/>
      <c r="M3" s="18"/>
      <c r="N3" s="18"/>
      <c r="O3" s="18"/>
      <c r="P3" s="35"/>
      <c r="Q3" s="18"/>
      <c r="R3" s="18"/>
      <c r="S3" s="18"/>
      <c r="T3" s="18"/>
    </row>
    <row r="4" spans="1:22" s="13" customFormat="1" ht="114" customHeight="1" thickBot="1" x14ac:dyDescent="0.3">
      <c r="A4" s="36" t="s">
        <v>19</v>
      </c>
      <c r="B4" s="37" t="s">
        <v>20</v>
      </c>
      <c r="C4" s="37" t="s">
        <v>21</v>
      </c>
      <c r="D4" s="37" t="s">
        <v>22</v>
      </c>
      <c r="E4" s="38" t="s">
        <v>23</v>
      </c>
      <c r="F4" s="37" t="s">
        <v>457</v>
      </c>
      <c r="G4" s="37" t="s">
        <v>458</v>
      </c>
      <c r="H4" s="37" t="s">
        <v>459</v>
      </c>
      <c r="I4" s="37" t="s">
        <v>460</v>
      </c>
      <c r="J4" s="37" t="s">
        <v>461</v>
      </c>
      <c r="K4" s="37" t="s">
        <v>314</v>
      </c>
      <c r="L4" s="37" t="s">
        <v>306</v>
      </c>
      <c r="M4" s="37" t="s">
        <v>23</v>
      </c>
      <c r="N4" s="37" t="s">
        <v>24</v>
      </c>
      <c r="O4" s="37" t="s">
        <v>25</v>
      </c>
      <c r="P4" s="39" t="s">
        <v>26</v>
      </c>
      <c r="Q4" s="37" t="s">
        <v>27</v>
      </c>
      <c r="R4" s="37" t="s">
        <v>28</v>
      </c>
      <c r="S4" s="37" t="s">
        <v>29</v>
      </c>
      <c r="T4" s="40" t="s">
        <v>30</v>
      </c>
      <c r="U4" s="12"/>
    </row>
    <row r="5" spans="1:22" ht="60" customHeight="1" outlineLevel="1" x14ac:dyDescent="0.25">
      <c r="A5" s="191">
        <v>1</v>
      </c>
      <c r="B5" s="193" t="s">
        <v>31</v>
      </c>
      <c r="C5" s="41" t="s">
        <v>32</v>
      </c>
      <c r="D5" s="195" t="s">
        <v>33</v>
      </c>
      <c r="E5" s="195" t="s">
        <v>35</v>
      </c>
      <c r="F5" s="42">
        <v>7300000</v>
      </c>
      <c r="G5" s="42">
        <v>5822389.5</v>
      </c>
      <c r="H5" s="43">
        <v>7.4999999999999997E-3</v>
      </c>
      <c r="I5" s="44"/>
      <c r="J5" s="45">
        <f t="shared" ref="J5:J15" si="0">G5-I5</f>
        <v>5822389.5</v>
      </c>
      <c r="K5" s="197" t="s">
        <v>315</v>
      </c>
      <c r="L5" s="46" t="s">
        <v>34</v>
      </c>
      <c r="M5" s="47" t="s">
        <v>35</v>
      </c>
      <c r="N5" s="48">
        <v>7300000</v>
      </c>
      <c r="O5" s="49">
        <f>5822389.5+13412.1+4470.7+716451.75+24588.85+716451.75+2235.35</f>
        <v>7299999.9999999991</v>
      </c>
      <c r="P5" s="43" t="s">
        <v>36</v>
      </c>
      <c r="Q5" s="49">
        <f>595000+119000+119000+119000+119000</f>
        <v>1071000</v>
      </c>
      <c r="R5" s="49">
        <v>628729.69999999995</v>
      </c>
      <c r="S5" s="48">
        <f t="shared" ref="S5:S33" si="1">O5-Q5</f>
        <v>6228999.9999999991</v>
      </c>
      <c r="T5" s="50" t="s">
        <v>37</v>
      </c>
      <c r="V5" s="16"/>
    </row>
    <row r="6" spans="1:22" ht="75.75" customHeight="1" outlineLevel="1" x14ac:dyDescent="0.25">
      <c r="A6" s="192"/>
      <c r="B6" s="194"/>
      <c r="C6" s="51" t="s">
        <v>38</v>
      </c>
      <c r="D6" s="196"/>
      <c r="E6" s="196"/>
      <c r="F6" s="52">
        <v>7300000</v>
      </c>
      <c r="G6" s="52">
        <v>7300000</v>
      </c>
      <c r="H6" s="53" t="s">
        <v>40</v>
      </c>
      <c r="I6" s="54"/>
      <c r="J6" s="55">
        <f t="shared" si="0"/>
        <v>7300000</v>
      </c>
      <c r="K6" s="198"/>
      <c r="L6" s="56" t="s">
        <v>39</v>
      </c>
      <c r="M6" s="57" t="s">
        <v>35</v>
      </c>
      <c r="N6" s="49">
        <v>7300000</v>
      </c>
      <c r="O6" s="49">
        <v>7299999.9999999981</v>
      </c>
      <c r="P6" s="53" t="s">
        <v>40</v>
      </c>
      <c r="Q6" s="49">
        <f>5474999.9+304166.7+304166.7+304166.7+304166.7</f>
        <v>6691666.7000000011</v>
      </c>
      <c r="R6" s="49">
        <v>1226756</v>
      </c>
      <c r="S6" s="49">
        <f t="shared" si="1"/>
        <v>608333.29999999702</v>
      </c>
      <c r="T6" s="58" t="s">
        <v>41</v>
      </c>
      <c r="V6" s="16"/>
    </row>
    <row r="7" spans="1:22" ht="64.5" customHeight="1" outlineLevel="1" x14ac:dyDescent="0.25">
      <c r="A7" s="27">
        <v>2</v>
      </c>
      <c r="B7" s="59" t="s">
        <v>31</v>
      </c>
      <c r="C7" s="59" t="s">
        <v>42</v>
      </c>
      <c r="D7" s="56" t="s">
        <v>33</v>
      </c>
      <c r="E7" s="57" t="s">
        <v>35</v>
      </c>
      <c r="F7" s="52">
        <v>14060527</v>
      </c>
      <c r="G7" s="52">
        <v>14060527</v>
      </c>
      <c r="H7" s="60">
        <v>7.4999999999999997E-3</v>
      </c>
      <c r="I7" s="52">
        <v>3044232</v>
      </c>
      <c r="J7" s="55">
        <f t="shared" si="0"/>
        <v>11016295</v>
      </c>
      <c r="K7" s="61" t="s">
        <v>316</v>
      </c>
      <c r="L7" s="56" t="s">
        <v>43</v>
      </c>
      <c r="M7" s="57" t="s">
        <v>35</v>
      </c>
      <c r="N7" s="49">
        <v>14060526.73</v>
      </c>
      <c r="O7" s="49">
        <v>14060526.73</v>
      </c>
      <c r="P7" s="60">
        <v>7.4999999999999997E-3</v>
      </c>
      <c r="Q7" s="49">
        <f>5858552.73979552+234342.1+234342.1+98055764.9/418.43+98932204.4/422.17</f>
        <v>6795921.1398902042</v>
      </c>
      <c r="R7" s="49">
        <f>1294472.69934396+40254.3+39195.3+16095956/418.43+15796672.6/422.17</f>
        <v>1449807.5992226265</v>
      </c>
      <c r="S7" s="49">
        <f t="shared" si="1"/>
        <v>7264605.5901097963</v>
      </c>
      <c r="T7" s="58" t="s">
        <v>37</v>
      </c>
      <c r="V7" s="16"/>
    </row>
    <row r="8" spans="1:22" ht="67.5" outlineLevel="1" x14ac:dyDescent="0.25">
      <c r="A8" s="27">
        <v>3</v>
      </c>
      <c r="B8" s="59" t="s">
        <v>31</v>
      </c>
      <c r="C8" s="59" t="s">
        <v>44</v>
      </c>
      <c r="D8" s="56" t="s">
        <v>33</v>
      </c>
      <c r="E8" s="57" t="s">
        <v>35</v>
      </c>
      <c r="F8" s="52">
        <v>75000000</v>
      </c>
      <c r="G8" s="52">
        <v>0</v>
      </c>
      <c r="H8" s="60">
        <v>1.8499999999999999E-2</v>
      </c>
      <c r="I8" s="54"/>
      <c r="J8" s="55">
        <f t="shared" si="0"/>
        <v>0</v>
      </c>
      <c r="K8" s="61" t="s">
        <v>317</v>
      </c>
      <c r="L8" s="56" t="s">
        <v>45</v>
      </c>
      <c r="M8" s="57" t="s">
        <v>35</v>
      </c>
      <c r="N8" s="49">
        <v>75000000</v>
      </c>
      <c r="O8" s="49"/>
      <c r="P8" s="60" t="s">
        <v>46</v>
      </c>
      <c r="Q8" s="49"/>
      <c r="R8" s="49">
        <f>1932812.5+93750+93750+93750+93750</f>
        <v>2307812.5</v>
      </c>
      <c r="S8" s="49">
        <f t="shared" si="1"/>
        <v>0</v>
      </c>
      <c r="T8" s="58" t="s">
        <v>41</v>
      </c>
      <c r="V8" s="16"/>
    </row>
    <row r="9" spans="1:22" ht="57.75" customHeight="1" outlineLevel="1" x14ac:dyDescent="0.25">
      <c r="A9" s="201">
        <v>4</v>
      </c>
      <c r="B9" s="202" t="s">
        <v>31</v>
      </c>
      <c r="C9" s="202" t="s">
        <v>44</v>
      </c>
      <c r="D9" s="56" t="s">
        <v>33</v>
      </c>
      <c r="E9" s="57" t="s">
        <v>35</v>
      </c>
      <c r="F9" s="52">
        <v>10200000</v>
      </c>
      <c r="G9" s="52">
        <v>0</v>
      </c>
      <c r="H9" s="60">
        <v>7.4999999999999997E-3</v>
      </c>
      <c r="I9" s="53"/>
      <c r="J9" s="55">
        <f t="shared" si="0"/>
        <v>0</v>
      </c>
      <c r="K9" s="203" t="s">
        <v>317</v>
      </c>
      <c r="L9" s="204" t="s">
        <v>47</v>
      </c>
      <c r="M9" s="57" t="s">
        <v>35</v>
      </c>
      <c r="N9" s="49">
        <v>10200000</v>
      </c>
      <c r="O9" s="49">
        <f>1075381.69+59500</f>
        <v>1134881.69</v>
      </c>
      <c r="P9" s="205" t="s">
        <v>36</v>
      </c>
      <c r="Q9" s="49">
        <v>0</v>
      </c>
      <c r="R9" s="49">
        <f>200690.672577969+15587.2+6522152.1/418.43+6580448.3/422.17</f>
        <v>247452.27276755084</v>
      </c>
      <c r="S9" s="49">
        <f>O9-Q9</f>
        <v>1134881.69</v>
      </c>
      <c r="T9" s="199" t="s">
        <v>41</v>
      </c>
      <c r="V9" s="16"/>
    </row>
    <row r="10" spans="1:22" ht="57.75" customHeight="1" outlineLevel="1" x14ac:dyDescent="0.25">
      <c r="A10" s="191"/>
      <c r="B10" s="194"/>
      <c r="C10" s="194"/>
      <c r="D10" s="56"/>
      <c r="E10" s="57"/>
      <c r="F10" s="52"/>
      <c r="G10" s="52"/>
      <c r="H10" s="60"/>
      <c r="I10" s="53"/>
      <c r="J10" s="55"/>
      <c r="K10" s="197"/>
      <c r="L10" s="195"/>
      <c r="M10" s="57" t="s">
        <v>3</v>
      </c>
      <c r="N10" s="49"/>
      <c r="O10" s="49">
        <v>244081445</v>
      </c>
      <c r="P10" s="206"/>
      <c r="Q10" s="49"/>
      <c r="R10" s="49">
        <f>9774294.3+915305.4+915305.4</f>
        <v>11604905.100000001</v>
      </c>
      <c r="S10" s="49">
        <f>O10-Q10</f>
        <v>244081445</v>
      </c>
      <c r="T10" s="200"/>
      <c r="V10" s="16"/>
    </row>
    <row r="11" spans="1:22" ht="76.5" customHeight="1" outlineLevel="1" x14ac:dyDescent="0.25">
      <c r="A11" s="201">
        <v>5</v>
      </c>
      <c r="B11" s="202" t="s">
        <v>31</v>
      </c>
      <c r="C11" s="202" t="s">
        <v>48</v>
      </c>
      <c r="D11" s="56"/>
      <c r="E11" s="57"/>
      <c r="F11" s="52"/>
      <c r="G11" s="52"/>
      <c r="H11" s="60"/>
      <c r="I11" s="53"/>
      <c r="J11" s="55"/>
      <c r="K11" s="203" t="s">
        <v>318</v>
      </c>
      <c r="L11" s="204" t="s">
        <v>49</v>
      </c>
      <c r="M11" s="57" t="s">
        <v>35</v>
      </c>
      <c r="N11" s="49">
        <v>10000000</v>
      </c>
      <c r="O11" s="49"/>
      <c r="P11" s="205" t="s">
        <v>50</v>
      </c>
      <c r="Q11" s="49"/>
      <c r="R11" s="49">
        <v>50000</v>
      </c>
      <c r="S11" s="49">
        <f>O11-Q11</f>
        <v>0</v>
      </c>
      <c r="T11" s="199" t="s">
        <v>51</v>
      </c>
      <c r="V11" s="16"/>
    </row>
    <row r="12" spans="1:22" ht="76.5" customHeight="1" outlineLevel="1" x14ac:dyDescent="0.25">
      <c r="A12" s="191"/>
      <c r="B12" s="194"/>
      <c r="C12" s="194"/>
      <c r="D12" s="56"/>
      <c r="E12" s="57"/>
      <c r="F12" s="52"/>
      <c r="G12" s="52"/>
      <c r="H12" s="60"/>
      <c r="I12" s="53"/>
      <c r="J12" s="55"/>
      <c r="K12" s="197"/>
      <c r="L12" s="195"/>
      <c r="M12" s="56" t="s">
        <v>3</v>
      </c>
      <c r="N12" s="49"/>
      <c r="O12" s="49"/>
      <c r="P12" s="206"/>
      <c r="Q12" s="49"/>
      <c r="R12" s="49"/>
      <c r="S12" s="49">
        <f t="shared" si="1"/>
        <v>0</v>
      </c>
      <c r="T12" s="200"/>
      <c r="V12" s="16"/>
    </row>
    <row r="13" spans="1:22" ht="76.5" customHeight="1" outlineLevel="1" x14ac:dyDescent="0.25">
      <c r="A13" s="201">
        <v>6</v>
      </c>
      <c r="B13" s="202" t="s">
        <v>31</v>
      </c>
      <c r="C13" s="202" t="s">
        <v>52</v>
      </c>
      <c r="D13" s="56"/>
      <c r="E13" s="57"/>
      <c r="F13" s="52"/>
      <c r="G13" s="52"/>
      <c r="H13" s="60"/>
      <c r="I13" s="53"/>
      <c r="J13" s="55"/>
      <c r="K13" s="203" t="s">
        <v>319</v>
      </c>
      <c r="L13" s="204" t="s">
        <v>53</v>
      </c>
      <c r="M13" s="57" t="s">
        <v>35</v>
      </c>
      <c r="N13" s="49">
        <v>83000000</v>
      </c>
      <c r="O13" s="49"/>
      <c r="P13" s="205">
        <v>1.7999999999999999E-2</v>
      </c>
      <c r="Q13" s="49"/>
      <c r="R13" s="49">
        <f>1930326.40003794+103750+103750+103750+103750</f>
        <v>2345326.4000379397</v>
      </c>
      <c r="S13" s="49">
        <f t="shared" si="1"/>
        <v>0</v>
      </c>
      <c r="T13" s="199" t="s">
        <v>41</v>
      </c>
      <c r="V13" s="16"/>
    </row>
    <row r="14" spans="1:22" ht="76.5" customHeight="1" outlineLevel="1" x14ac:dyDescent="0.25">
      <c r="A14" s="191"/>
      <c r="B14" s="194"/>
      <c r="C14" s="194"/>
      <c r="D14" s="56"/>
      <c r="E14" s="57"/>
      <c r="F14" s="52"/>
      <c r="G14" s="52"/>
      <c r="H14" s="60"/>
      <c r="I14" s="53"/>
      <c r="J14" s="55"/>
      <c r="K14" s="197"/>
      <c r="L14" s="195"/>
      <c r="M14" s="56" t="s">
        <v>3</v>
      </c>
      <c r="N14" s="49"/>
      <c r="O14" s="49"/>
      <c r="P14" s="206"/>
      <c r="Q14" s="49"/>
      <c r="R14" s="49"/>
      <c r="S14" s="49">
        <f t="shared" si="1"/>
        <v>0</v>
      </c>
      <c r="T14" s="200"/>
      <c r="U14" s="19"/>
      <c r="V14" s="16"/>
    </row>
    <row r="15" spans="1:22" ht="96.75" customHeight="1" outlineLevel="1" x14ac:dyDescent="0.25">
      <c r="A15" s="192">
        <v>7</v>
      </c>
      <c r="B15" s="202" t="s">
        <v>31</v>
      </c>
      <c r="C15" s="202" t="s">
        <v>54</v>
      </c>
      <c r="D15" s="196" t="s">
        <v>55</v>
      </c>
      <c r="E15" s="208" t="s">
        <v>57</v>
      </c>
      <c r="F15" s="209">
        <v>39000000</v>
      </c>
      <c r="G15" s="209">
        <f>18026903.76+130476.4+43674.47+204502+159552.28+20280.3+101559+88268.89+153855.7+63854.08</f>
        <v>18992926.879999999</v>
      </c>
      <c r="H15" s="208" t="s">
        <v>462</v>
      </c>
      <c r="I15" s="207"/>
      <c r="J15" s="207">
        <f t="shared" si="0"/>
        <v>18992926.879999999</v>
      </c>
      <c r="K15" s="198" t="s">
        <v>320</v>
      </c>
      <c r="L15" s="196" t="s">
        <v>56</v>
      </c>
      <c r="M15" s="57" t="s">
        <v>57</v>
      </c>
      <c r="N15" s="49">
        <f>35500000-1434414.8</f>
        <v>34065585.200000003</v>
      </c>
      <c r="O15" s="49">
        <v>34065585.200000003</v>
      </c>
      <c r="P15" s="208" t="s">
        <v>387</v>
      </c>
      <c r="Q15" s="49">
        <f>3406558.5+438685248.4/386.33</f>
        <v>4542077.9999094037</v>
      </c>
      <c r="R15" s="49">
        <f>6927866.15+372600334/386.33</f>
        <v>7892327.4499249347</v>
      </c>
      <c r="S15" s="49">
        <f t="shared" si="1"/>
        <v>29523507.200090598</v>
      </c>
      <c r="T15" s="199" t="s">
        <v>58</v>
      </c>
      <c r="U15" s="19"/>
      <c r="V15" s="16"/>
    </row>
    <row r="16" spans="1:22" ht="68.25" customHeight="1" outlineLevel="1" x14ac:dyDescent="0.25">
      <c r="A16" s="192"/>
      <c r="B16" s="194"/>
      <c r="C16" s="194"/>
      <c r="D16" s="196"/>
      <c r="E16" s="208"/>
      <c r="F16" s="209"/>
      <c r="G16" s="209"/>
      <c r="H16" s="208"/>
      <c r="I16" s="207"/>
      <c r="J16" s="207"/>
      <c r="K16" s="198"/>
      <c r="L16" s="196"/>
      <c r="M16" s="56" t="s">
        <v>3</v>
      </c>
      <c r="N16" s="49"/>
      <c r="O16" s="49">
        <v>3680136115.8000002</v>
      </c>
      <c r="P16" s="208"/>
      <c r="Q16" s="49">
        <f>387003402.1+121967878.3</f>
        <v>508971280.40000004</v>
      </c>
      <c r="R16" s="49">
        <f>743758864.24+103594252.5</f>
        <v>847353116.74000001</v>
      </c>
      <c r="S16" s="49">
        <f t="shared" si="1"/>
        <v>3171164835.4000001</v>
      </c>
      <c r="T16" s="200"/>
      <c r="U16" s="19"/>
      <c r="V16" s="16"/>
    </row>
    <row r="17" spans="1:21" s="16" customFormat="1" ht="81" customHeight="1" outlineLevel="1" x14ac:dyDescent="0.25">
      <c r="A17" s="201">
        <v>8</v>
      </c>
      <c r="B17" s="202" t="s">
        <v>31</v>
      </c>
      <c r="C17" s="202" t="s">
        <v>59</v>
      </c>
      <c r="D17" s="204" t="s">
        <v>55</v>
      </c>
      <c r="E17" s="53" t="s">
        <v>57</v>
      </c>
      <c r="F17" s="52">
        <v>40000000</v>
      </c>
      <c r="G17" s="55">
        <v>100000</v>
      </c>
      <c r="H17" s="53" t="s">
        <v>462</v>
      </c>
      <c r="I17" s="55">
        <v>0</v>
      </c>
      <c r="J17" s="55">
        <f>G17-I17</f>
        <v>100000</v>
      </c>
      <c r="K17" s="203" t="s">
        <v>321</v>
      </c>
      <c r="L17" s="203" t="s">
        <v>60</v>
      </c>
      <c r="M17" s="57" t="s">
        <v>57</v>
      </c>
      <c r="N17" s="52">
        <f>40000000-2500000-1500000</f>
        <v>36000000</v>
      </c>
      <c r="O17" s="49">
        <v>23800757.16</v>
      </c>
      <c r="P17" s="60" t="s">
        <v>387</v>
      </c>
      <c r="Q17" s="49">
        <v>0</v>
      </c>
      <c r="R17" s="49">
        <v>2610870.4511588858</v>
      </c>
      <c r="S17" s="49">
        <f t="shared" si="1"/>
        <v>23800757.16</v>
      </c>
      <c r="T17" s="199" t="s">
        <v>58</v>
      </c>
      <c r="U17" s="19"/>
    </row>
    <row r="18" spans="1:21" s="16" customFormat="1" ht="39.75" customHeight="1" outlineLevel="1" x14ac:dyDescent="0.25">
      <c r="A18" s="191"/>
      <c r="B18" s="194"/>
      <c r="C18" s="194"/>
      <c r="D18" s="195"/>
      <c r="E18" s="53"/>
      <c r="F18" s="52"/>
      <c r="G18" s="55"/>
      <c r="H18" s="53"/>
      <c r="I18" s="55"/>
      <c r="J18" s="55"/>
      <c r="K18" s="197"/>
      <c r="L18" s="197"/>
      <c r="M18" s="56" t="s">
        <v>3</v>
      </c>
      <c r="N18" s="52"/>
      <c r="O18" s="49">
        <v>1014345134.8000001</v>
      </c>
      <c r="P18" s="60"/>
      <c r="Q18" s="49">
        <v>563212.19999999995</v>
      </c>
      <c r="R18" s="49">
        <v>103135336.99999999</v>
      </c>
      <c r="S18" s="49">
        <f t="shared" si="1"/>
        <v>1013781922.6</v>
      </c>
      <c r="T18" s="200"/>
      <c r="U18" s="19"/>
    </row>
    <row r="19" spans="1:21" s="16" customFormat="1" ht="70.5" customHeight="1" outlineLevel="1" x14ac:dyDescent="0.25">
      <c r="A19" s="201">
        <v>9</v>
      </c>
      <c r="B19" s="210" t="s">
        <v>31</v>
      </c>
      <c r="C19" s="202" t="s">
        <v>61</v>
      </c>
      <c r="D19" s="204" t="s">
        <v>55</v>
      </c>
      <c r="E19" s="208" t="s">
        <v>57</v>
      </c>
      <c r="F19" s="209">
        <v>52000000</v>
      </c>
      <c r="G19" s="207">
        <v>130000</v>
      </c>
      <c r="H19" s="208" t="s">
        <v>462</v>
      </c>
      <c r="I19" s="207"/>
      <c r="J19" s="207">
        <f>G19-I19</f>
        <v>130000</v>
      </c>
      <c r="K19" s="203" t="s">
        <v>322</v>
      </c>
      <c r="L19" s="203" t="s">
        <v>62</v>
      </c>
      <c r="M19" s="57" t="s">
        <v>57</v>
      </c>
      <c r="N19" s="52">
        <v>23194486</v>
      </c>
      <c r="O19" s="49">
        <v>11131836.780000001</v>
      </c>
      <c r="P19" s="205" t="s">
        <v>387</v>
      </c>
      <c r="Q19" s="49">
        <v>0</v>
      </c>
      <c r="R19" s="49">
        <f>1316813.632+122778919.2/386.33</f>
        <v>1634622.032072477</v>
      </c>
      <c r="S19" s="49">
        <f t="shared" si="1"/>
        <v>11131836.780000001</v>
      </c>
      <c r="T19" s="199" t="s">
        <v>58</v>
      </c>
      <c r="U19" s="19"/>
    </row>
    <row r="20" spans="1:21" s="16" customFormat="1" ht="54.75" customHeight="1" outlineLevel="1" x14ac:dyDescent="0.25">
      <c r="A20" s="191"/>
      <c r="B20" s="211"/>
      <c r="C20" s="212"/>
      <c r="D20" s="213"/>
      <c r="E20" s="208"/>
      <c r="F20" s="209"/>
      <c r="G20" s="207"/>
      <c r="H20" s="208"/>
      <c r="I20" s="207"/>
      <c r="J20" s="207"/>
      <c r="K20" s="197"/>
      <c r="L20" s="197"/>
      <c r="M20" s="56" t="s">
        <v>3</v>
      </c>
      <c r="N20" s="52"/>
      <c r="O20" s="49">
        <f>1415958093.3+500000</f>
        <v>1416458093.3</v>
      </c>
      <c r="P20" s="214"/>
      <c r="Q20" s="49">
        <v>91463799.799999997</v>
      </c>
      <c r="R20" s="49">
        <f>119885553.7+36155098.5</f>
        <v>156040652.19999999</v>
      </c>
      <c r="S20" s="49">
        <f t="shared" si="1"/>
        <v>1324994293.5</v>
      </c>
      <c r="T20" s="200"/>
      <c r="U20" s="19"/>
    </row>
    <row r="21" spans="1:21" s="16" customFormat="1" ht="60" customHeight="1" outlineLevel="1" x14ac:dyDescent="0.25">
      <c r="A21" s="201">
        <v>10</v>
      </c>
      <c r="B21" s="210" t="s">
        <v>63</v>
      </c>
      <c r="C21" s="212"/>
      <c r="D21" s="213"/>
      <c r="E21" s="208"/>
      <c r="F21" s="209"/>
      <c r="G21" s="207"/>
      <c r="H21" s="208"/>
      <c r="I21" s="207"/>
      <c r="J21" s="207"/>
      <c r="K21" s="203" t="s">
        <v>323</v>
      </c>
      <c r="L21" s="203" t="s">
        <v>62</v>
      </c>
      <c r="M21" s="57" t="s">
        <v>57</v>
      </c>
      <c r="N21" s="49">
        <v>16662617.070000002</v>
      </c>
      <c r="O21" s="49">
        <v>16662617.070000002</v>
      </c>
      <c r="P21" s="214"/>
      <c r="Q21" s="49"/>
      <c r="R21" s="49">
        <f>2194958+182027405/386.38</f>
        <v>2666067.8012319477</v>
      </c>
      <c r="S21" s="49">
        <f t="shared" si="1"/>
        <v>16662617.070000002</v>
      </c>
      <c r="T21" s="199" t="s">
        <v>58</v>
      </c>
      <c r="U21" s="19"/>
    </row>
    <row r="22" spans="1:21" s="16" customFormat="1" ht="40.5" customHeight="1" outlineLevel="1" x14ac:dyDescent="0.25">
      <c r="A22" s="191"/>
      <c r="B22" s="211"/>
      <c r="C22" s="194"/>
      <c r="D22" s="195"/>
      <c r="E22" s="62"/>
      <c r="F22" s="63"/>
      <c r="G22" s="64"/>
      <c r="H22" s="62"/>
      <c r="I22" s="64"/>
      <c r="J22" s="64"/>
      <c r="K22" s="197"/>
      <c r="L22" s="197"/>
      <c r="M22" s="57" t="s">
        <v>3</v>
      </c>
      <c r="N22" s="20"/>
      <c r="O22" s="49">
        <v>2003005775.2</v>
      </c>
      <c r="P22" s="206"/>
      <c r="Q22" s="49"/>
      <c r="R22" s="49">
        <f>238604865.8+56631905</f>
        <v>295236770.80000001</v>
      </c>
      <c r="S22" s="49">
        <f t="shared" si="1"/>
        <v>2003005775.2</v>
      </c>
      <c r="T22" s="200"/>
      <c r="U22" s="19"/>
    </row>
    <row r="23" spans="1:21" s="16" customFormat="1" ht="57.75" customHeight="1" outlineLevel="1" x14ac:dyDescent="0.25">
      <c r="A23" s="201">
        <v>11</v>
      </c>
      <c r="B23" s="210" t="s">
        <v>31</v>
      </c>
      <c r="C23" s="202" t="s">
        <v>64</v>
      </c>
      <c r="D23" s="204" t="s">
        <v>65</v>
      </c>
      <c r="E23" s="218" t="s">
        <v>463</v>
      </c>
      <c r="F23" s="221">
        <v>24022000</v>
      </c>
      <c r="G23" s="215">
        <f>O23+O25</f>
        <v>18384172.012149811</v>
      </c>
      <c r="H23" s="218">
        <v>0.02</v>
      </c>
      <c r="I23" s="215">
        <v>0</v>
      </c>
      <c r="J23" s="215">
        <f>G23-I23</f>
        <v>18384172.012149811</v>
      </c>
      <c r="K23" s="203" t="s">
        <v>321</v>
      </c>
      <c r="L23" s="204" t="s">
        <v>66</v>
      </c>
      <c r="M23" s="57" t="s">
        <v>67</v>
      </c>
      <c r="N23" s="65">
        <v>13988153</v>
      </c>
      <c r="O23" s="49">
        <v>8262785.6411363389</v>
      </c>
      <c r="P23" s="205">
        <v>3.1399999999999997E-2</v>
      </c>
      <c r="Q23" s="49">
        <f>1430873.60020494+107795234.9/520.68</f>
        <v>1637901.4001972578</v>
      </c>
      <c r="R23" s="49">
        <f>1219413.93+55848657.5/520.68</f>
        <v>1326674.9300384112</v>
      </c>
      <c r="S23" s="49">
        <f t="shared" si="1"/>
        <v>6624884.2409390807</v>
      </c>
      <c r="T23" s="199" t="s">
        <v>58</v>
      </c>
      <c r="U23" s="19"/>
    </row>
    <row r="24" spans="1:21" s="16" customFormat="1" ht="32.25" customHeight="1" outlineLevel="1" x14ac:dyDescent="0.25">
      <c r="A24" s="191"/>
      <c r="B24" s="211"/>
      <c r="C24" s="212"/>
      <c r="D24" s="213"/>
      <c r="E24" s="219"/>
      <c r="F24" s="222"/>
      <c r="G24" s="216"/>
      <c r="H24" s="219"/>
      <c r="I24" s="216"/>
      <c r="J24" s="216"/>
      <c r="K24" s="197"/>
      <c r="L24" s="195"/>
      <c r="M24" s="56" t="s">
        <v>3</v>
      </c>
      <c r="N24" s="66"/>
      <c r="O24" s="49">
        <v>1194787815</v>
      </c>
      <c r="P24" s="206"/>
      <c r="Q24" s="49">
        <f>209123295.3+29868621.8</f>
        <v>238991917.10000002</v>
      </c>
      <c r="R24" s="49">
        <f>177460224.6+15474933</f>
        <v>192935157.59999999</v>
      </c>
      <c r="S24" s="49">
        <f t="shared" si="1"/>
        <v>955795897.89999998</v>
      </c>
      <c r="T24" s="200"/>
      <c r="U24" s="19"/>
    </row>
    <row r="25" spans="1:21" s="16" customFormat="1" ht="51.75" customHeight="1" outlineLevel="1" x14ac:dyDescent="0.25">
      <c r="A25" s="201">
        <v>12</v>
      </c>
      <c r="B25" s="210" t="s">
        <v>68</v>
      </c>
      <c r="C25" s="212"/>
      <c r="D25" s="213"/>
      <c r="E25" s="219"/>
      <c r="F25" s="222"/>
      <c r="G25" s="216"/>
      <c r="H25" s="219"/>
      <c r="I25" s="216"/>
      <c r="J25" s="216"/>
      <c r="K25" s="203" t="s">
        <v>324</v>
      </c>
      <c r="L25" s="204" t="s">
        <v>66</v>
      </c>
      <c r="M25" s="57" t="s">
        <v>67</v>
      </c>
      <c r="N25" s="65">
        <v>10098535</v>
      </c>
      <c r="O25" s="49">
        <v>10121386.37101347</v>
      </c>
      <c r="P25" s="205">
        <v>3.1399999999999997E-2</v>
      </c>
      <c r="Q25" s="49">
        <f>1520990.1+136750579/520.29</f>
        <v>1783825.40146649</v>
      </c>
      <c r="R25" s="49">
        <f>832426.027338+83294453/525+70252782/520.29</f>
        <v>1126108.3290630269</v>
      </c>
      <c r="S25" s="49">
        <f t="shared" si="1"/>
        <v>8337560.9695469802</v>
      </c>
      <c r="T25" s="199" t="s">
        <v>58</v>
      </c>
      <c r="U25" s="19"/>
    </row>
    <row r="26" spans="1:21" s="16" customFormat="1" ht="32.25" customHeight="1" outlineLevel="1" x14ac:dyDescent="0.25">
      <c r="A26" s="191"/>
      <c r="B26" s="211"/>
      <c r="C26" s="194"/>
      <c r="D26" s="195"/>
      <c r="E26" s="220"/>
      <c r="F26" s="223"/>
      <c r="G26" s="217"/>
      <c r="H26" s="220"/>
      <c r="I26" s="217"/>
      <c r="J26" s="217"/>
      <c r="K26" s="197"/>
      <c r="L26" s="195"/>
      <c r="M26" s="56" t="s">
        <v>3</v>
      </c>
      <c r="N26" s="66"/>
      <c r="O26" s="49">
        <v>794162455.89999998</v>
      </c>
      <c r="P26" s="206"/>
      <c r="Q26" s="49">
        <f>123592049.7+20623615</f>
        <v>144215664.69999999</v>
      </c>
      <c r="R26" s="49">
        <f>78534680.8+10527955</f>
        <v>89062635.799999997</v>
      </c>
      <c r="S26" s="49">
        <f t="shared" si="1"/>
        <v>649946791.20000005</v>
      </c>
      <c r="T26" s="200"/>
      <c r="U26" s="19"/>
    </row>
    <row r="27" spans="1:21" s="16" customFormat="1" ht="48" customHeight="1" outlineLevel="1" x14ac:dyDescent="0.25">
      <c r="A27" s="27">
        <v>13</v>
      </c>
      <c r="B27" s="54" t="s">
        <v>31</v>
      </c>
      <c r="C27" s="225" t="s">
        <v>69</v>
      </c>
      <c r="D27" s="196" t="s">
        <v>70</v>
      </c>
      <c r="E27" s="53" t="s">
        <v>464</v>
      </c>
      <c r="F27" s="207">
        <v>15000000</v>
      </c>
      <c r="G27" s="207">
        <v>15000000</v>
      </c>
      <c r="H27" s="227">
        <v>1.4500000000000001E-2</v>
      </c>
      <c r="I27" s="207">
        <v>2437500</v>
      </c>
      <c r="J27" s="207">
        <f>G27-I27</f>
        <v>12562500</v>
      </c>
      <c r="K27" s="61" t="s">
        <v>325</v>
      </c>
      <c r="L27" s="56" t="s">
        <v>71</v>
      </c>
      <c r="M27" s="57" t="s">
        <v>57</v>
      </c>
      <c r="N27" s="49">
        <v>19600000</v>
      </c>
      <c r="O27" s="49">
        <v>19419334.870000001</v>
      </c>
      <c r="P27" s="67">
        <v>5.0000000000000001E-3</v>
      </c>
      <c r="Q27" s="49">
        <f>9716960.66852489+189584407.5/488.5+172026989.7/443.26+153375144/395.2+150045288.9/386.62</f>
        <v>11269340.668524889</v>
      </c>
      <c r="R27" s="49">
        <f>1129921.93024286+16077756.3/488.5+14096288.6/443.26+12233850.7/395.2+11546870.2/386.62</f>
        <v>1255458.1302620166</v>
      </c>
      <c r="S27" s="49">
        <f t="shared" si="1"/>
        <v>8149994.2014751118</v>
      </c>
      <c r="T27" s="58" t="s">
        <v>58</v>
      </c>
      <c r="U27" s="19"/>
    </row>
    <row r="28" spans="1:21" s="16" customFormat="1" ht="60" customHeight="1" outlineLevel="1" x14ac:dyDescent="0.25">
      <c r="A28" s="27">
        <v>14</v>
      </c>
      <c r="B28" s="54" t="s">
        <v>68</v>
      </c>
      <c r="C28" s="225"/>
      <c r="D28" s="196"/>
      <c r="E28" s="53" t="s">
        <v>464</v>
      </c>
      <c r="F28" s="207"/>
      <c r="G28" s="207"/>
      <c r="H28" s="227"/>
      <c r="I28" s="207"/>
      <c r="J28" s="207"/>
      <c r="K28" s="61" t="s">
        <v>326</v>
      </c>
      <c r="L28" s="56" t="s">
        <v>72</v>
      </c>
      <c r="M28" s="57" t="s">
        <v>57</v>
      </c>
      <c r="N28" s="49">
        <v>297276.53999999998</v>
      </c>
      <c r="O28" s="49">
        <v>297276.53999999998</v>
      </c>
      <c r="P28" s="60" t="s">
        <v>73</v>
      </c>
      <c r="Q28" s="49">
        <f>257638.543537781+4361667/440.15+3916234/395.2+3837157/387.22</f>
        <v>287367.04489083763</v>
      </c>
      <c r="R28" s="49">
        <f>229541.53251276+1912186/489.99+1556591/440.15+1259898/395.2+1094284/387.22</f>
        <v>242994.53549180552</v>
      </c>
      <c r="S28" s="49">
        <f t="shared" si="1"/>
        <v>9909.4951091623516</v>
      </c>
      <c r="T28" s="58" t="s">
        <v>58</v>
      </c>
      <c r="U28" s="19"/>
    </row>
    <row r="29" spans="1:21" s="16" customFormat="1" ht="51" customHeight="1" outlineLevel="1" x14ac:dyDescent="0.25">
      <c r="A29" s="27">
        <v>15</v>
      </c>
      <c r="B29" s="54" t="s">
        <v>68</v>
      </c>
      <c r="C29" s="224" t="s">
        <v>74</v>
      </c>
      <c r="D29" s="196" t="s">
        <v>75</v>
      </c>
      <c r="E29" s="208" t="s">
        <v>77</v>
      </c>
      <c r="F29" s="209">
        <f>5075000000+324000000</f>
        <v>5399000000</v>
      </c>
      <c r="G29" s="207">
        <f>5062807492+305504477</f>
        <v>5368311969</v>
      </c>
      <c r="H29" s="226" t="s">
        <v>465</v>
      </c>
      <c r="I29" s="207">
        <f>1729684492+71162477</f>
        <v>1800846969</v>
      </c>
      <c r="J29" s="207">
        <f>G29-I29</f>
        <v>3567465000</v>
      </c>
      <c r="K29" s="61" t="s">
        <v>327</v>
      </c>
      <c r="L29" s="56" t="s">
        <v>76</v>
      </c>
      <c r="M29" s="56" t="s">
        <v>77</v>
      </c>
      <c r="N29" s="49">
        <v>1571940173.3299999</v>
      </c>
      <c r="O29" s="49">
        <v>1598519063</v>
      </c>
      <c r="P29" s="67">
        <v>1.7999999999999999E-2</v>
      </c>
      <c r="Q29" s="49">
        <f>1030178646.5+123394332/3.026</f>
        <v>1070956680.8688037</v>
      </c>
      <c r="R29" s="49">
        <f>226837831.925937+13873556/3.026</f>
        <v>231422615.7990368</v>
      </c>
      <c r="S29" s="49">
        <f t="shared" si="1"/>
        <v>527562382.13119626</v>
      </c>
      <c r="T29" s="58" t="s">
        <v>58</v>
      </c>
      <c r="U29" s="19"/>
    </row>
    <row r="30" spans="1:21" s="16" customFormat="1" ht="41.25" customHeight="1" outlineLevel="1" x14ac:dyDescent="0.25">
      <c r="A30" s="27">
        <v>16</v>
      </c>
      <c r="B30" s="59" t="s">
        <v>78</v>
      </c>
      <c r="C30" s="224"/>
      <c r="D30" s="196"/>
      <c r="E30" s="208"/>
      <c r="F30" s="209"/>
      <c r="G30" s="207"/>
      <c r="H30" s="226"/>
      <c r="I30" s="207"/>
      <c r="J30" s="207"/>
      <c r="K30" s="61" t="s">
        <v>328</v>
      </c>
      <c r="L30" s="56" t="s">
        <v>76</v>
      </c>
      <c r="M30" s="56" t="s">
        <v>77</v>
      </c>
      <c r="N30" s="49">
        <v>3796371795.6700001</v>
      </c>
      <c r="O30" s="49">
        <v>3861444249</v>
      </c>
      <c r="P30" s="67">
        <v>1.7999999999999999E-2</v>
      </c>
      <c r="Q30" s="49">
        <f>2513837447.56+291897058.6/3.026</f>
        <v>2610300454.3676667</v>
      </c>
      <c r="R30" s="49">
        <f>553224853.256799+32762341/3.026</f>
        <v>564051800.05124712</v>
      </c>
      <c r="S30" s="49">
        <f t="shared" si="1"/>
        <v>1251143794.6323333</v>
      </c>
      <c r="T30" s="58" t="s">
        <v>58</v>
      </c>
      <c r="U30" s="19"/>
    </row>
    <row r="31" spans="1:21" s="16" customFormat="1" ht="33.75" customHeight="1" outlineLevel="1" x14ac:dyDescent="0.25">
      <c r="A31" s="192">
        <v>17</v>
      </c>
      <c r="B31" s="224" t="s">
        <v>79</v>
      </c>
      <c r="C31" s="225" t="s">
        <v>80</v>
      </c>
      <c r="D31" s="196" t="s">
        <v>70</v>
      </c>
      <c r="E31" s="208" t="s">
        <v>464</v>
      </c>
      <c r="F31" s="207">
        <v>10000000</v>
      </c>
      <c r="G31" s="207">
        <v>9972457.2400000002</v>
      </c>
      <c r="H31" s="227">
        <v>1.4500000000000001E-2</v>
      </c>
      <c r="I31" s="207">
        <v>0</v>
      </c>
      <c r="J31" s="207">
        <f>G31-I31</f>
        <v>9972457.2400000002</v>
      </c>
      <c r="K31" s="198" t="s">
        <v>329</v>
      </c>
      <c r="L31" s="196" t="s">
        <v>81</v>
      </c>
      <c r="M31" s="57" t="s">
        <v>57</v>
      </c>
      <c r="N31" s="49">
        <v>4846628.13</v>
      </c>
      <c r="O31" s="49">
        <v>4737831.22</v>
      </c>
      <c r="P31" s="60">
        <v>7.4999999999999997E-3</v>
      </c>
      <c r="Q31" s="49">
        <f>616176.07+18729201/386.44</f>
        <v>664642.06989649101</v>
      </c>
      <c r="R31" s="49">
        <f>353441.51+5923430/386.44</f>
        <v>368769.71101438778</v>
      </c>
      <c r="S31" s="49">
        <f t="shared" si="1"/>
        <v>4073189.1501035085</v>
      </c>
      <c r="T31" s="58" t="s">
        <v>82</v>
      </c>
      <c r="U31" s="19"/>
    </row>
    <row r="32" spans="1:21" s="16" customFormat="1" ht="41.25" customHeight="1" outlineLevel="1" x14ac:dyDescent="0.25">
      <c r="A32" s="192"/>
      <c r="B32" s="224"/>
      <c r="C32" s="225"/>
      <c r="D32" s="196"/>
      <c r="E32" s="208"/>
      <c r="F32" s="207"/>
      <c r="G32" s="207"/>
      <c r="H32" s="227"/>
      <c r="I32" s="207"/>
      <c r="J32" s="207"/>
      <c r="K32" s="198"/>
      <c r="L32" s="196"/>
      <c r="M32" s="56" t="s">
        <v>3</v>
      </c>
      <c r="N32" s="49">
        <v>1740568345.9000001</v>
      </c>
      <c r="O32" s="49">
        <v>1740568345.9000001</v>
      </c>
      <c r="P32" s="60">
        <v>7.4999999999999997E-3</v>
      </c>
      <c r="Q32" s="49">
        <f>247100359+17402579</f>
        <v>264502938</v>
      </c>
      <c r="R32" s="49">
        <f>128165336.87+5554115.8</f>
        <v>133719452.67</v>
      </c>
      <c r="S32" s="49">
        <f t="shared" si="1"/>
        <v>1476065407.9000001</v>
      </c>
      <c r="T32" s="58" t="s">
        <v>82</v>
      </c>
      <c r="U32" s="19"/>
    </row>
    <row r="33" spans="1:22" ht="87" customHeight="1" outlineLevel="1" x14ac:dyDescent="0.25">
      <c r="A33" s="27">
        <v>18</v>
      </c>
      <c r="B33" s="54" t="s">
        <v>83</v>
      </c>
      <c r="C33" s="59" t="s">
        <v>84</v>
      </c>
      <c r="D33" s="56" t="s">
        <v>33</v>
      </c>
      <c r="E33" s="53" t="s">
        <v>466</v>
      </c>
      <c r="F33" s="55">
        <f>12782297+5112919</f>
        <v>17895216</v>
      </c>
      <c r="G33" s="55">
        <f>12782297+5112919</f>
        <v>17895216</v>
      </c>
      <c r="H33" s="53"/>
      <c r="I33" s="52">
        <f>2687350+357904</f>
        <v>3045254</v>
      </c>
      <c r="J33" s="55">
        <f>G33-I33</f>
        <v>14849962</v>
      </c>
      <c r="K33" s="61" t="s">
        <v>330</v>
      </c>
      <c r="L33" s="61" t="s">
        <v>85</v>
      </c>
      <c r="M33" s="57" t="s">
        <v>35</v>
      </c>
      <c r="N33" s="68">
        <v>17895215.550000001</v>
      </c>
      <c r="O33" s="49">
        <v>17895215.550000001</v>
      </c>
      <c r="P33" s="60">
        <v>7.4999999999999997E-3</v>
      </c>
      <c r="Q33" s="49">
        <f>7748628.1+130294835.3/415.04</f>
        <v>8062561.2999325357</v>
      </c>
      <c r="R33" s="49">
        <f>2568161.28+12471869/415.04+3320320/414.34</f>
        <v>2606224.5954896617</v>
      </c>
      <c r="S33" s="49">
        <f t="shared" si="1"/>
        <v>9832654.250067465</v>
      </c>
      <c r="T33" s="58" t="s">
        <v>58</v>
      </c>
      <c r="U33" s="19"/>
      <c r="V33" s="16"/>
    </row>
    <row r="34" spans="1:22" ht="40.5" customHeight="1" outlineLevel="1" x14ac:dyDescent="0.25">
      <c r="A34" s="192">
        <v>19</v>
      </c>
      <c r="B34" s="210" t="s">
        <v>86</v>
      </c>
      <c r="C34" s="225" t="s">
        <v>87</v>
      </c>
      <c r="D34" s="225" t="s">
        <v>288</v>
      </c>
      <c r="E34" s="229" t="s">
        <v>35</v>
      </c>
      <c r="F34" s="69">
        <v>14500000</v>
      </c>
      <c r="G34" s="69"/>
      <c r="H34" s="59"/>
      <c r="I34" s="70"/>
      <c r="J34" s="69">
        <f>G34-I34</f>
        <v>0</v>
      </c>
      <c r="K34" s="225" t="s">
        <v>331</v>
      </c>
      <c r="L34" s="59" t="s">
        <v>88</v>
      </c>
      <c r="M34" s="57" t="s">
        <v>35</v>
      </c>
      <c r="N34" s="71">
        <v>22000000</v>
      </c>
      <c r="O34" s="49">
        <v>21247150.510000002</v>
      </c>
      <c r="P34" s="72" t="s">
        <v>89</v>
      </c>
      <c r="Q34" s="49">
        <f>1047000+1047000+1047000+1047000+1047000+1047000</f>
        <v>6282000</v>
      </c>
      <c r="R34" s="49">
        <v>1901527.4</v>
      </c>
      <c r="S34" s="48">
        <f>O34-Q34</f>
        <v>14965150.510000002</v>
      </c>
      <c r="T34" s="58" t="s">
        <v>90</v>
      </c>
      <c r="U34" s="19"/>
      <c r="V34" s="16"/>
    </row>
    <row r="35" spans="1:22" ht="31.5" customHeight="1" outlineLevel="1" x14ac:dyDescent="0.25">
      <c r="A35" s="192"/>
      <c r="B35" s="228"/>
      <c r="C35" s="225"/>
      <c r="D35" s="225"/>
      <c r="E35" s="229"/>
      <c r="F35" s="69">
        <v>14500000</v>
      </c>
      <c r="G35" s="69">
        <v>697853.84</v>
      </c>
      <c r="H35" s="59"/>
      <c r="I35" s="70"/>
      <c r="J35" s="69">
        <f>G35-I35</f>
        <v>697853.84</v>
      </c>
      <c r="K35" s="225"/>
      <c r="L35" s="59" t="s">
        <v>91</v>
      </c>
      <c r="M35" s="57" t="s">
        <v>35</v>
      </c>
      <c r="N35" s="71">
        <v>14500000</v>
      </c>
      <c r="O35" s="49">
        <v>14491281.059999999</v>
      </c>
      <c r="P35" s="72" t="s">
        <v>36</v>
      </c>
      <c r="Q35" s="49">
        <f>241000+241000+241000+241000+241000+241000</f>
        <v>1446000</v>
      </c>
      <c r="R35" s="49">
        <v>579706.23</v>
      </c>
      <c r="S35" s="48">
        <f>O35-Q35</f>
        <v>13045281.059999999</v>
      </c>
      <c r="T35" s="58" t="s">
        <v>90</v>
      </c>
      <c r="U35" s="19"/>
      <c r="V35" s="16"/>
    </row>
    <row r="36" spans="1:22" ht="42.75" customHeight="1" outlineLevel="1" x14ac:dyDescent="0.25">
      <c r="A36" s="192"/>
      <c r="B36" s="211"/>
      <c r="C36" s="225"/>
      <c r="D36" s="225"/>
      <c r="E36" s="229"/>
      <c r="F36" s="69">
        <v>22000000</v>
      </c>
      <c r="G36" s="69"/>
      <c r="H36" s="59"/>
      <c r="I36" s="70"/>
      <c r="J36" s="69">
        <f>G36-I36</f>
        <v>0</v>
      </c>
      <c r="K36" s="225"/>
      <c r="L36" s="59" t="s">
        <v>92</v>
      </c>
      <c r="M36" s="57" t="s">
        <v>35</v>
      </c>
      <c r="N36" s="71">
        <v>14500000</v>
      </c>
      <c r="O36" s="49">
        <v>14500000.000000002</v>
      </c>
      <c r="P36" s="72" t="s">
        <v>93</v>
      </c>
      <c r="Q36" s="49">
        <f>2519999.6+630000+630000</f>
        <v>3779999.6</v>
      </c>
      <c r="R36" s="49">
        <v>2115062.19</v>
      </c>
      <c r="S36" s="48">
        <f>O36-Q36</f>
        <v>10720000.400000002</v>
      </c>
      <c r="T36" s="58" t="s">
        <v>90</v>
      </c>
      <c r="U36" s="19"/>
      <c r="V36" s="16"/>
    </row>
    <row r="37" spans="1:22" ht="94.5" customHeight="1" outlineLevel="1" x14ac:dyDescent="0.25">
      <c r="A37" s="27">
        <v>20</v>
      </c>
      <c r="B37" s="59" t="s">
        <v>94</v>
      </c>
      <c r="C37" s="54" t="s">
        <v>95</v>
      </c>
      <c r="D37" s="56" t="s">
        <v>75</v>
      </c>
      <c r="E37" s="53" t="s">
        <v>77</v>
      </c>
      <c r="F37" s="73">
        <v>26409000000</v>
      </c>
      <c r="G37" s="55">
        <v>26399286331</v>
      </c>
      <c r="H37" s="72">
        <v>7.4999999999999997E-3</v>
      </c>
      <c r="I37" s="55">
        <v>432846331</v>
      </c>
      <c r="J37" s="69">
        <f>G37-I37</f>
        <v>25966440000</v>
      </c>
      <c r="K37" s="61" t="s">
        <v>332</v>
      </c>
      <c r="L37" s="56" t="s">
        <v>96</v>
      </c>
      <c r="M37" s="56" t="s">
        <v>77</v>
      </c>
      <c r="N37" s="73">
        <v>26409000000</v>
      </c>
      <c r="O37" s="49">
        <v>26399286331</v>
      </c>
      <c r="P37" s="60">
        <v>7.4999999999999997E-3</v>
      </c>
      <c r="Q37" s="49">
        <v>7357230331.1683521</v>
      </c>
      <c r="R37" s="49">
        <v>2607354309.0699525</v>
      </c>
      <c r="S37" s="55">
        <f t="shared" ref="S37:S46" si="2">O37-Q37</f>
        <v>19042055999.83165</v>
      </c>
      <c r="T37" s="58" t="s">
        <v>97</v>
      </c>
      <c r="U37" s="19"/>
      <c r="V37" s="16"/>
    </row>
    <row r="38" spans="1:22" ht="51.75" customHeight="1" outlineLevel="1" x14ac:dyDescent="0.25">
      <c r="A38" s="27">
        <v>21</v>
      </c>
      <c r="B38" s="54" t="s">
        <v>31</v>
      </c>
      <c r="C38" s="59" t="s">
        <v>98</v>
      </c>
      <c r="D38" s="59" t="s">
        <v>99</v>
      </c>
      <c r="E38" s="53"/>
      <c r="F38" s="53"/>
      <c r="G38" s="53"/>
      <c r="H38" s="53"/>
      <c r="I38" s="53"/>
      <c r="J38" s="53"/>
      <c r="K38" s="61" t="s">
        <v>333</v>
      </c>
      <c r="L38" s="56" t="s">
        <v>100</v>
      </c>
      <c r="M38" s="57" t="s">
        <v>57</v>
      </c>
      <c r="N38" s="49">
        <v>8988290</v>
      </c>
      <c r="O38" s="49">
        <v>8988290</v>
      </c>
      <c r="P38" s="67">
        <v>5.0000000000000001E-3</v>
      </c>
      <c r="Q38" s="49">
        <f>4199999.97+600000+600000+289644000/482.74+290820000/484.7+286458000/477.43+600000+600000+231939215.4/394.26</f>
        <v>8988289.9699999988</v>
      </c>
      <c r="R38" s="49">
        <f>838542.942447016+522591.6/394.26</f>
        <v>839868.44237092405</v>
      </c>
      <c r="S38" s="55">
        <f t="shared" si="2"/>
        <v>3.0000001192092896E-2</v>
      </c>
      <c r="T38" s="58" t="s">
        <v>82</v>
      </c>
      <c r="U38" s="19"/>
      <c r="V38" s="16"/>
    </row>
    <row r="39" spans="1:22" ht="63.75" customHeight="1" outlineLevel="1" x14ac:dyDescent="0.25">
      <c r="A39" s="27">
        <v>22</v>
      </c>
      <c r="B39" s="54" t="s">
        <v>101</v>
      </c>
      <c r="C39" s="59" t="s">
        <v>98</v>
      </c>
      <c r="D39" s="59" t="s">
        <v>102</v>
      </c>
      <c r="E39" s="53"/>
      <c r="F39" s="53"/>
      <c r="G39" s="53"/>
      <c r="H39" s="53"/>
      <c r="I39" s="53"/>
      <c r="J39" s="53"/>
      <c r="K39" s="74" t="s">
        <v>334</v>
      </c>
      <c r="L39" s="49" t="s">
        <v>103</v>
      </c>
      <c r="M39" s="69" t="s">
        <v>3</v>
      </c>
      <c r="N39" s="49">
        <v>1757100000</v>
      </c>
      <c r="O39" s="49">
        <v>1757100000</v>
      </c>
      <c r="P39" s="60">
        <v>7.4999999999999997E-3</v>
      </c>
      <c r="Q39" s="49">
        <f>439275000+62753571.5+62753571.5+62753571.3+62753571.4+62753571.4+62753571.4+62753571.5</f>
        <v>878549999.99999988</v>
      </c>
      <c r="R39" s="49">
        <f>303383430.5+3313904.4+3032802.7</f>
        <v>309730137.59999996</v>
      </c>
      <c r="S39" s="55">
        <f t="shared" si="2"/>
        <v>878550000.00000012</v>
      </c>
      <c r="T39" s="58" t="s">
        <v>82</v>
      </c>
      <c r="U39" s="19"/>
      <c r="V39" s="16"/>
    </row>
    <row r="40" spans="1:22" ht="63.75" customHeight="1" outlineLevel="1" x14ac:dyDescent="0.25">
      <c r="A40" s="75">
        <v>23</v>
      </c>
      <c r="B40" s="54" t="s">
        <v>101</v>
      </c>
      <c r="C40" s="76" t="s">
        <v>104</v>
      </c>
      <c r="D40" s="59"/>
      <c r="E40" s="53"/>
      <c r="F40" s="53"/>
      <c r="G40" s="53"/>
      <c r="H40" s="53"/>
      <c r="I40" s="53"/>
      <c r="J40" s="53"/>
      <c r="K40" s="74" t="s">
        <v>335</v>
      </c>
      <c r="L40" s="49" t="s">
        <v>105</v>
      </c>
      <c r="M40" s="69" t="s">
        <v>3</v>
      </c>
      <c r="N40" s="49">
        <v>18700000000</v>
      </c>
      <c r="O40" s="49">
        <v>18700000000</v>
      </c>
      <c r="P40" s="77">
        <v>7.4999999999999997E-2</v>
      </c>
      <c r="Q40" s="49">
        <f>890476190.5+890476190.5+890476190.5</f>
        <v>2671428571.5</v>
      </c>
      <c r="R40" s="49">
        <f>1333335616.4+703171232.9+699328767.1+670052837.5+632909002</f>
        <v>4038797455.9000001</v>
      </c>
      <c r="S40" s="55">
        <f t="shared" si="2"/>
        <v>16028571428.5</v>
      </c>
      <c r="T40" s="58" t="s">
        <v>82</v>
      </c>
      <c r="U40" s="19"/>
      <c r="V40" s="16"/>
    </row>
    <row r="41" spans="1:22" ht="63.75" customHeight="1" outlineLevel="1" x14ac:dyDescent="0.25">
      <c r="A41" s="75">
        <v>24</v>
      </c>
      <c r="B41" s="54" t="s">
        <v>101</v>
      </c>
      <c r="C41" s="76" t="s">
        <v>289</v>
      </c>
      <c r="D41" s="59"/>
      <c r="E41" s="53"/>
      <c r="F41" s="53"/>
      <c r="G41" s="53"/>
      <c r="H41" s="53"/>
      <c r="I41" s="53"/>
      <c r="J41" s="53"/>
      <c r="K41" s="78"/>
      <c r="L41" s="49" t="s">
        <v>272</v>
      </c>
      <c r="M41" s="69" t="s">
        <v>3</v>
      </c>
      <c r="N41" s="49">
        <v>25000000000</v>
      </c>
      <c r="O41" s="49">
        <v>25000000000</v>
      </c>
      <c r="P41" s="77">
        <v>0.09</v>
      </c>
      <c r="Q41" s="49">
        <f>1190476190.4</f>
        <v>1190476190.4000001</v>
      </c>
      <c r="R41" s="49">
        <f>1171232876.7+1121917808.3+1128082191.8+1121917808.2</f>
        <v>4543150685</v>
      </c>
      <c r="S41" s="55">
        <f t="shared" si="2"/>
        <v>23809523809.599998</v>
      </c>
      <c r="T41" s="58" t="s">
        <v>82</v>
      </c>
      <c r="U41" s="19"/>
      <c r="V41" s="16"/>
    </row>
    <row r="42" spans="1:22" ht="63.75" customHeight="1" outlineLevel="1" x14ac:dyDescent="0.25">
      <c r="A42" s="75">
        <v>25</v>
      </c>
      <c r="B42" s="54" t="s">
        <v>101</v>
      </c>
      <c r="C42" s="76" t="s">
        <v>275</v>
      </c>
      <c r="D42" s="59"/>
      <c r="E42" s="53"/>
      <c r="F42" s="53"/>
      <c r="G42" s="53"/>
      <c r="H42" s="53"/>
      <c r="I42" s="53"/>
      <c r="J42" s="53"/>
      <c r="K42" s="74" t="s">
        <v>336</v>
      </c>
      <c r="L42" s="49" t="s">
        <v>276</v>
      </c>
      <c r="M42" s="69" t="s">
        <v>3</v>
      </c>
      <c r="N42" s="49">
        <v>2242223800</v>
      </c>
      <c r="O42" s="49">
        <v>2242223800</v>
      </c>
      <c r="P42" s="79">
        <v>9.1240000000000002E-2</v>
      </c>
      <c r="Q42" s="49">
        <v>2242223800</v>
      </c>
      <c r="R42" s="49">
        <v>297062095</v>
      </c>
      <c r="S42" s="55">
        <f t="shared" si="2"/>
        <v>0</v>
      </c>
      <c r="T42" s="58" t="s">
        <v>82</v>
      </c>
      <c r="U42" s="19"/>
      <c r="V42" s="16"/>
    </row>
    <row r="43" spans="1:22" ht="57.75" customHeight="1" outlineLevel="1" x14ac:dyDescent="0.25">
      <c r="A43" s="201">
        <v>26</v>
      </c>
      <c r="B43" s="210" t="s">
        <v>101</v>
      </c>
      <c r="C43" s="202" t="s">
        <v>106</v>
      </c>
      <c r="D43" s="56" t="s">
        <v>107</v>
      </c>
      <c r="E43" s="57" t="s">
        <v>57</v>
      </c>
      <c r="F43" s="55">
        <v>270000000</v>
      </c>
      <c r="G43" s="80">
        <v>7766059.0499999998</v>
      </c>
      <c r="H43" s="53"/>
      <c r="I43" s="53"/>
      <c r="J43" s="53"/>
      <c r="K43" s="203" t="s">
        <v>337</v>
      </c>
      <c r="L43" s="245" t="s">
        <v>108</v>
      </c>
      <c r="M43" s="57" t="s">
        <v>57</v>
      </c>
      <c r="N43" s="65">
        <v>270000000</v>
      </c>
      <c r="O43" s="49">
        <v>173574580.28</v>
      </c>
      <c r="P43" s="247">
        <v>0.03</v>
      </c>
      <c r="Q43" s="49">
        <f>51199088.7002228+3370009369.8/394.93+3295429324.9/386.19</f>
        <v>68265451.600323498</v>
      </c>
      <c r="R43" s="49">
        <f>20309911.275649+723428666.7/394.93+646453366.1/386.19</f>
        <v>23815626.575622123</v>
      </c>
      <c r="S43" s="55">
        <f t="shared" si="2"/>
        <v>105309128.6796765</v>
      </c>
      <c r="T43" s="199" t="s">
        <v>90</v>
      </c>
      <c r="U43" s="19"/>
      <c r="V43" s="16"/>
    </row>
    <row r="44" spans="1:22" ht="57.75" customHeight="1" outlineLevel="1" x14ac:dyDescent="0.25">
      <c r="A44" s="191"/>
      <c r="B44" s="211"/>
      <c r="C44" s="194"/>
      <c r="D44" s="81"/>
      <c r="E44" s="82"/>
      <c r="F44" s="64"/>
      <c r="G44" s="83"/>
      <c r="H44" s="62"/>
      <c r="I44" s="62"/>
      <c r="J44" s="62"/>
      <c r="K44" s="197"/>
      <c r="L44" s="246"/>
      <c r="M44" s="69" t="s">
        <v>3</v>
      </c>
      <c r="N44" s="66">
        <v>1265847400</v>
      </c>
      <c r="O44" s="49">
        <f>9509488626+108542329</f>
        <v>9618030955</v>
      </c>
      <c r="P44" s="248"/>
      <c r="Q44" s="49">
        <f>2858334735.47632+482835444.3+482835444.2</f>
        <v>3824005623.9763198</v>
      </c>
      <c r="R44" s="49">
        <f>1045375895.11175+103648675.3+94716219.7</f>
        <v>1243740790.1117501</v>
      </c>
      <c r="S44" s="55">
        <f t="shared" si="2"/>
        <v>5794025331.0236797</v>
      </c>
      <c r="T44" s="200"/>
      <c r="U44" s="19"/>
      <c r="V44" s="16"/>
    </row>
    <row r="45" spans="1:22" ht="57.75" customHeight="1" outlineLevel="1" x14ac:dyDescent="0.25">
      <c r="A45" s="27">
        <v>27</v>
      </c>
      <c r="B45" s="54" t="s">
        <v>101</v>
      </c>
      <c r="C45" s="59" t="s">
        <v>109</v>
      </c>
      <c r="D45" s="56"/>
      <c r="E45" s="57"/>
      <c r="F45" s="55"/>
      <c r="G45" s="80"/>
      <c r="H45" s="53"/>
      <c r="I45" s="53"/>
      <c r="J45" s="53"/>
      <c r="K45" s="84" t="s">
        <v>338</v>
      </c>
      <c r="L45" s="48" t="s">
        <v>110</v>
      </c>
      <c r="M45" s="47" t="s">
        <v>57</v>
      </c>
      <c r="N45" s="65">
        <v>8907500</v>
      </c>
      <c r="O45" s="49">
        <v>8907384.7100000009</v>
      </c>
      <c r="P45" s="205" t="s">
        <v>388</v>
      </c>
      <c r="Q45" s="49"/>
      <c r="R45" s="49">
        <f>1241236.45+96159781.6/386.38</f>
        <v>1490110.05008282</v>
      </c>
      <c r="S45" s="85">
        <f t="shared" si="2"/>
        <v>8907384.7100000009</v>
      </c>
      <c r="T45" s="86" t="s">
        <v>111</v>
      </c>
      <c r="U45" s="19"/>
      <c r="V45" s="16"/>
    </row>
    <row r="46" spans="1:22" ht="78.75" customHeight="1" outlineLevel="1" thickBot="1" x14ac:dyDescent="0.3">
      <c r="A46" s="27">
        <v>28</v>
      </c>
      <c r="B46" s="87" t="s">
        <v>94</v>
      </c>
      <c r="C46" s="88" t="s">
        <v>109</v>
      </c>
      <c r="D46" s="89"/>
      <c r="E46" s="90"/>
      <c r="F46" s="85"/>
      <c r="G46" s="91"/>
      <c r="H46" s="92"/>
      <c r="I46" s="92"/>
      <c r="J46" s="92"/>
      <c r="K46" s="84" t="s">
        <v>339</v>
      </c>
      <c r="L46" s="93" t="s">
        <v>110</v>
      </c>
      <c r="M46" s="90" t="s">
        <v>57</v>
      </c>
      <c r="N46" s="94">
        <v>21092500</v>
      </c>
      <c r="O46" s="49">
        <v>21092210.790000003</v>
      </c>
      <c r="P46" s="234"/>
      <c r="Q46" s="49"/>
      <c r="R46" s="49">
        <f>3081286.01+227668040/386.38</f>
        <v>3670519.5106987935</v>
      </c>
      <c r="S46" s="64">
        <f t="shared" si="2"/>
        <v>21092210.790000003</v>
      </c>
      <c r="T46" s="86" t="s">
        <v>112</v>
      </c>
      <c r="U46" s="19"/>
    </row>
    <row r="47" spans="1:22" s="20" customFormat="1" ht="15" customHeight="1" x14ac:dyDescent="0.25">
      <c r="A47" s="235" t="s">
        <v>121</v>
      </c>
      <c r="B47" s="236"/>
      <c r="C47" s="236"/>
      <c r="D47" s="239" t="s">
        <v>35</v>
      </c>
      <c r="E47" s="239"/>
      <c r="F47" s="239"/>
      <c r="G47" s="239"/>
      <c r="H47" s="239"/>
      <c r="I47" s="239"/>
      <c r="J47" s="239"/>
      <c r="K47" s="239"/>
      <c r="L47" s="239"/>
      <c r="M47" s="95"/>
      <c r="N47" s="21">
        <f>SUMIF($M$5:$M$46,D47,$N$5:$N$46)</f>
        <v>275755742.28000003</v>
      </c>
      <c r="O47" s="21">
        <f>SUMIF($M$5:$M$46,D47,$O$5:$O$46)</f>
        <v>97929055.540000007</v>
      </c>
      <c r="P47" s="21"/>
      <c r="Q47" s="21">
        <f>SUMIF($M$5:$M$46,D47,$Q$5:$Q$46)</f>
        <v>34129148.739822738</v>
      </c>
      <c r="R47" s="21">
        <f>SUMIF($M$5:$M$46,D47,$R$5:$R$46)</f>
        <v>15458404.88751778</v>
      </c>
      <c r="S47" s="21">
        <f>SUMIF($M$5:$M$46,D47,$S$5:$S$46)</f>
        <v>63799906.800177261</v>
      </c>
      <c r="T47" s="96"/>
      <c r="U47" s="19"/>
    </row>
    <row r="48" spans="1:22" s="20" customFormat="1" ht="15" customHeight="1" x14ac:dyDescent="0.25">
      <c r="A48" s="237"/>
      <c r="B48" s="238"/>
      <c r="C48" s="238"/>
      <c r="D48" s="240" t="s">
        <v>3</v>
      </c>
      <c r="E48" s="240"/>
      <c r="F48" s="240"/>
      <c r="G48" s="240"/>
      <c r="H48" s="240"/>
      <c r="I48" s="240"/>
      <c r="J48" s="240"/>
      <c r="K48" s="240"/>
      <c r="L48" s="240"/>
      <c r="M48" s="97"/>
      <c r="N48" s="22">
        <f>SUMIF($M$5:$M$46,D48,$N$5:$N$46)</f>
        <v>50705739545.900002</v>
      </c>
      <c r="O48" s="22">
        <f>SUMIF($M$5:$M$46,D48,$O$5:$O$46)</f>
        <v>69404899935.899994</v>
      </c>
      <c r="P48" s="22"/>
      <c r="Q48" s="22">
        <f>SUMIF($M$5:$M$46,D48,$Q$5:$Q$46)</f>
        <v>12055392998.076321</v>
      </c>
      <c r="R48" s="22">
        <f>SUMIF($M$5:$M$46,D48,$R$5:$R$46)</f>
        <v>12261569191.521749</v>
      </c>
      <c r="S48" s="22">
        <f>SUMIF($M$5:$M$46,D48,$S$5:$S$46)</f>
        <v>57349506937.823685</v>
      </c>
      <c r="T48" s="98"/>
      <c r="U48" s="19"/>
    </row>
    <row r="49" spans="1:21" s="20" customFormat="1" ht="15" customHeight="1" x14ac:dyDescent="0.25">
      <c r="A49" s="237"/>
      <c r="B49" s="238"/>
      <c r="C49" s="238"/>
      <c r="D49" s="240" t="s">
        <v>57</v>
      </c>
      <c r="E49" s="240"/>
      <c r="F49" s="240"/>
      <c r="G49" s="240"/>
      <c r="H49" s="240"/>
      <c r="I49" s="240"/>
      <c r="J49" s="240"/>
      <c r="K49" s="240"/>
      <c r="L49" s="240"/>
      <c r="M49" s="97"/>
      <c r="N49" s="22">
        <f>SUMIF($M$5:$M$46,D49,$N$5:$N$46)</f>
        <v>443654882.94000006</v>
      </c>
      <c r="O49" s="22">
        <f>SUMIF($M$5:$M$46,D49,$O$5:$O$46)</f>
        <v>322677704.62</v>
      </c>
      <c r="P49" s="22"/>
      <c r="Q49" s="22">
        <f>SUMIF($M$5:$M$46,D49,$Q$5:$Q$46)</f>
        <v>94017169.353545114</v>
      </c>
      <c r="R49" s="22">
        <f>SUMIF($M$5:$M$46,D49,$R$5:$R$46)</f>
        <v>46487234.68993111</v>
      </c>
      <c r="S49" s="22">
        <f>SUMIF($M$5:$M$46,D49,$S$5:$S$46)</f>
        <v>228660535.26645488</v>
      </c>
      <c r="T49" s="98"/>
      <c r="U49" s="19"/>
    </row>
    <row r="50" spans="1:21" s="20" customFormat="1" ht="15" customHeight="1" x14ac:dyDescent="0.25">
      <c r="A50" s="237"/>
      <c r="B50" s="238"/>
      <c r="C50" s="238"/>
      <c r="D50" s="241" t="s">
        <v>77</v>
      </c>
      <c r="E50" s="241"/>
      <c r="F50" s="241"/>
      <c r="G50" s="241"/>
      <c r="H50" s="241"/>
      <c r="I50" s="241"/>
      <c r="J50" s="241"/>
      <c r="K50" s="241"/>
      <c r="L50" s="241"/>
      <c r="M50" s="99"/>
      <c r="N50" s="100">
        <f>SUMIF($M$5:$M$46,D50,$N$5:$N$46)</f>
        <v>31777311969</v>
      </c>
      <c r="O50" s="100">
        <f>SUMIF($M$5:$M$46,D50,$O$5:$O$46)</f>
        <v>31859249643</v>
      </c>
      <c r="P50" s="100"/>
      <c r="Q50" s="100">
        <f>SUMIF($M$5:$M$46,D50,$Q$5:$Q$46)</f>
        <v>11038487466.404823</v>
      </c>
      <c r="R50" s="100">
        <f>SUMIF($M$5:$M$46,D50,$R$5:$R$46)</f>
        <v>3402828724.9202366</v>
      </c>
      <c r="S50" s="100">
        <f>SUMIF($M$5:$M$46,D50,$S$5:$S$46)</f>
        <v>20820762176.595181</v>
      </c>
      <c r="T50" s="101"/>
      <c r="U50" s="19"/>
    </row>
    <row r="51" spans="1:21" s="20" customFormat="1" ht="15" customHeight="1" thickBot="1" x14ac:dyDescent="0.3">
      <c r="A51" s="237"/>
      <c r="B51" s="238"/>
      <c r="C51" s="238"/>
      <c r="D51" s="242" t="s">
        <v>67</v>
      </c>
      <c r="E51" s="243"/>
      <c r="F51" s="243"/>
      <c r="G51" s="243"/>
      <c r="H51" s="243"/>
      <c r="I51" s="243"/>
      <c r="J51" s="243"/>
      <c r="K51" s="243"/>
      <c r="L51" s="244"/>
      <c r="M51" s="102"/>
      <c r="N51" s="23">
        <f>SUMIF($M$5:$M$46,D51,$N$5:$N$46)</f>
        <v>24086688</v>
      </c>
      <c r="O51" s="23">
        <f>SUMIF($M$5:$M$46,D51,$O$5:$O$46)</f>
        <v>18384172.012149811</v>
      </c>
      <c r="P51" s="23"/>
      <c r="Q51" s="23">
        <f>SUMIF($M$5:$M$46,D51,$Q$5:$Q$46)</f>
        <v>3421726.801663748</v>
      </c>
      <c r="R51" s="23">
        <f>SUMIF($M$5:$M$46,D51,$R$5:$R$46)</f>
        <v>2452783.2591014383</v>
      </c>
      <c r="S51" s="23">
        <f>SUMIF($M$5:$M$46,D51,$S$5:$S$46)</f>
        <v>14962445.210486062</v>
      </c>
      <c r="T51" s="103"/>
      <c r="U51" s="19"/>
    </row>
    <row r="52" spans="1:21" ht="78" customHeight="1" outlineLevel="1" x14ac:dyDescent="0.25">
      <c r="A52" s="104">
        <v>29</v>
      </c>
      <c r="B52" s="44" t="s">
        <v>122</v>
      </c>
      <c r="C52" s="87" t="s">
        <v>123</v>
      </c>
      <c r="D52" s="46" t="s">
        <v>124</v>
      </c>
      <c r="E52" s="47" t="s">
        <v>35</v>
      </c>
      <c r="F52" s="45">
        <v>5000000</v>
      </c>
      <c r="G52" s="45">
        <v>5000000</v>
      </c>
      <c r="H52" s="105" t="s">
        <v>126</v>
      </c>
      <c r="I52" s="42">
        <v>1041667</v>
      </c>
      <c r="J52" s="45">
        <f>G52-I52</f>
        <v>3958333</v>
      </c>
      <c r="K52" s="84" t="s">
        <v>340</v>
      </c>
      <c r="L52" s="84" t="s">
        <v>125</v>
      </c>
      <c r="M52" s="47" t="s">
        <v>35</v>
      </c>
      <c r="N52" s="48">
        <v>5000000</v>
      </c>
      <c r="O52" s="48">
        <v>5000000</v>
      </c>
      <c r="P52" s="105" t="s">
        <v>126</v>
      </c>
      <c r="Q52" s="48">
        <f>4166666.69+208333.33</f>
        <v>4375000.0199999996</v>
      </c>
      <c r="R52" s="48">
        <v>553011.29</v>
      </c>
      <c r="S52" s="48">
        <f t="shared" ref="S52:S57" si="3">O52-Q52</f>
        <v>624999.98000000045</v>
      </c>
      <c r="T52" s="50" t="s">
        <v>82</v>
      </c>
    </row>
    <row r="53" spans="1:21" ht="71.25" customHeight="1" outlineLevel="1" x14ac:dyDescent="0.25">
      <c r="A53" s="75">
        <v>30</v>
      </c>
      <c r="B53" s="210" t="s">
        <v>127</v>
      </c>
      <c r="C53" s="76" t="s">
        <v>128</v>
      </c>
      <c r="D53" s="81" t="s">
        <v>124</v>
      </c>
      <c r="E53" s="57" t="s">
        <v>35</v>
      </c>
      <c r="F53" s="55">
        <v>5000000</v>
      </c>
      <c r="G53" s="55">
        <f>3302053.81+58000+43500</f>
        <v>3403553.81</v>
      </c>
      <c r="H53" s="60" t="s">
        <v>126</v>
      </c>
      <c r="I53" s="55">
        <v>0</v>
      </c>
      <c r="J53" s="55">
        <f>G53-I53</f>
        <v>3403553.81</v>
      </c>
      <c r="K53" s="106" t="s">
        <v>341</v>
      </c>
      <c r="L53" s="106" t="s">
        <v>129</v>
      </c>
      <c r="M53" s="57" t="s">
        <v>35</v>
      </c>
      <c r="N53" s="49">
        <v>5000000</v>
      </c>
      <c r="O53" s="49">
        <v>5000000</v>
      </c>
      <c r="P53" s="77" t="s">
        <v>126</v>
      </c>
      <c r="Q53" s="49">
        <f>3125000+208333.33</f>
        <v>3333333.33</v>
      </c>
      <c r="R53" s="49">
        <v>320254.8</v>
      </c>
      <c r="S53" s="49">
        <f t="shared" si="3"/>
        <v>1666666.67</v>
      </c>
      <c r="T53" s="199" t="s">
        <v>82</v>
      </c>
    </row>
    <row r="54" spans="1:21" ht="71.25" customHeight="1" outlineLevel="1" x14ac:dyDescent="0.25">
      <c r="A54" s="75">
        <v>31</v>
      </c>
      <c r="B54" s="211"/>
      <c r="C54" s="76"/>
      <c r="D54" s="81"/>
      <c r="E54" s="57"/>
      <c r="F54" s="55"/>
      <c r="G54" s="55"/>
      <c r="H54" s="60"/>
      <c r="I54" s="55"/>
      <c r="J54" s="55"/>
      <c r="K54" s="106"/>
      <c r="L54" s="106"/>
      <c r="M54" s="82" t="s">
        <v>3</v>
      </c>
      <c r="N54" s="49"/>
      <c r="O54" s="49">
        <v>66094595</v>
      </c>
      <c r="P54" s="77"/>
      <c r="Q54" s="49">
        <f>6609471.44+6609433.4</f>
        <v>13218904.84</v>
      </c>
      <c r="R54" s="49">
        <v>1088882.5977352946</v>
      </c>
      <c r="S54" s="49">
        <f t="shared" si="3"/>
        <v>52875690.159999996</v>
      </c>
      <c r="T54" s="200"/>
    </row>
    <row r="55" spans="1:21" ht="55.5" customHeight="1" outlineLevel="1" x14ac:dyDescent="0.25">
      <c r="A55" s="27">
        <v>32</v>
      </c>
      <c r="B55" s="54" t="s">
        <v>130</v>
      </c>
      <c r="C55" s="59" t="s">
        <v>131</v>
      </c>
      <c r="D55" s="56" t="s">
        <v>132</v>
      </c>
      <c r="E55" s="57" t="s">
        <v>35</v>
      </c>
      <c r="F55" s="55">
        <v>5000000</v>
      </c>
      <c r="G55" s="55">
        <v>5000000</v>
      </c>
      <c r="H55" s="60" t="s">
        <v>467</v>
      </c>
      <c r="I55" s="52"/>
      <c r="J55" s="55">
        <f>G55-I55</f>
        <v>5000000</v>
      </c>
      <c r="K55" s="61" t="s">
        <v>342</v>
      </c>
      <c r="L55" s="61" t="s">
        <v>133</v>
      </c>
      <c r="M55" s="57" t="s">
        <v>35</v>
      </c>
      <c r="N55" s="49">
        <v>5000000</v>
      </c>
      <c r="O55" s="49">
        <v>5000000</v>
      </c>
      <c r="P55" s="60" t="s">
        <v>126</v>
      </c>
      <c r="Q55" s="49">
        <f>3227272.74+97124988.4/427.35</f>
        <v>3454545.4401287003</v>
      </c>
      <c r="R55" s="49">
        <f>'[2]Hashvark 03.05.11'!$M$87+'[2]Hashvark 03.05.11'!$T$87</f>
        <v>442023.43641151115</v>
      </c>
      <c r="S55" s="49">
        <f t="shared" si="3"/>
        <v>1545454.5598712997</v>
      </c>
      <c r="T55" s="58" t="s">
        <v>82</v>
      </c>
    </row>
    <row r="56" spans="1:21" ht="57" customHeight="1" outlineLevel="1" x14ac:dyDescent="0.25">
      <c r="A56" s="201">
        <v>33</v>
      </c>
      <c r="B56" s="210" t="s">
        <v>134</v>
      </c>
      <c r="C56" s="202" t="s">
        <v>135</v>
      </c>
      <c r="D56" s="81" t="s">
        <v>132</v>
      </c>
      <c r="E56" s="82" t="s">
        <v>35</v>
      </c>
      <c r="F56" s="64">
        <v>5000000</v>
      </c>
      <c r="G56" s="64">
        <v>2000000</v>
      </c>
      <c r="H56" s="77" t="s">
        <v>468</v>
      </c>
      <c r="I56" s="64">
        <v>0</v>
      </c>
      <c r="J56" s="64">
        <f>G56-I56</f>
        <v>2000000</v>
      </c>
      <c r="K56" s="106" t="s">
        <v>343</v>
      </c>
      <c r="L56" s="106" t="s">
        <v>136</v>
      </c>
      <c r="M56" s="82" t="s">
        <v>35</v>
      </c>
      <c r="N56" s="107">
        <v>5000000</v>
      </c>
      <c r="O56" s="49">
        <v>3000000</v>
      </c>
      <c r="P56" s="79" t="s">
        <v>290</v>
      </c>
      <c r="Q56" s="49">
        <v>676724.13793103443</v>
      </c>
      <c r="R56" s="49">
        <v>222742.90472119639</v>
      </c>
      <c r="S56" s="107">
        <f t="shared" si="3"/>
        <v>2323275.8620689656</v>
      </c>
      <c r="T56" s="199" t="s">
        <v>82</v>
      </c>
    </row>
    <row r="57" spans="1:21" ht="57" customHeight="1" outlineLevel="1" thickBot="1" x14ac:dyDescent="0.3">
      <c r="A57" s="230"/>
      <c r="B57" s="231"/>
      <c r="C57" s="232"/>
      <c r="D57" s="81" t="s">
        <v>132</v>
      </c>
      <c r="E57" s="82" t="s">
        <v>35</v>
      </c>
      <c r="F57" s="64">
        <v>5000000</v>
      </c>
      <c r="G57" s="64">
        <v>2000000</v>
      </c>
      <c r="H57" s="77" t="s">
        <v>468</v>
      </c>
      <c r="I57" s="64">
        <v>0</v>
      </c>
      <c r="J57" s="64">
        <f>G57-I57</f>
        <v>2000000</v>
      </c>
      <c r="K57" s="106" t="s">
        <v>343</v>
      </c>
      <c r="L57" s="106" t="s">
        <v>273</v>
      </c>
      <c r="M57" s="82" t="s">
        <v>3</v>
      </c>
      <c r="N57" s="107"/>
      <c r="O57" s="49">
        <v>69055257.109999999</v>
      </c>
      <c r="P57" s="79">
        <v>1.404E-2</v>
      </c>
      <c r="Q57" s="49">
        <v>9751561.9283781946</v>
      </c>
      <c r="R57" s="49">
        <v>1328413.7934904536</v>
      </c>
      <c r="S57" s="107">
        <f t="shared" si="3"/>
        <v>59303695.181621805</v>
      </c>
      <c r="T57" s="233"/>
    </row>
    <row r="58" spans="1:21" s="20" customFormat="1" ht="15" customHeight="1" x14ac:dyDescent="0.25">
      <c r="A58" s="235" t="s">
        <v>137</v>
      </c>
      <c r="B58" s="236"/>
      <c r="C58" s="236"/>
      <c r="D58" s="239" t="s">
        <v>35</v>
      </c>
      <c r="E58" s="239"/>
      <c r="F58" s="239"/>
      <c r="G58" s="239"/>
      <c r="H58" s="239"/>
      <c r="I58" s="239"/>
      <c r="J58" s="239"/>
      <c r="K58" s="239"/>
      <c r="L58" s="239"/>
      <c r="M58" s="95"/>
      <c r="N58" s="21">
        <f>SUMIF($M$52:$M$57,D58,$N$52:$N$57)</f>
        <v>20000000</v>
      </c>
      <c r="O58" s="21">
        <f>SUMIF($M$52:$M$57,D58,$O$52:$O$57)</f>
        <v>18000000</v>
      </c>
      <c r="P58" s="24"/>
      <c r="Q58" s="21">
        <f>SUMIF($M$52:$M$57,D58,$Q$52:$Q$57)</f>
        <v>11839602.928059734</v>
      </c>
      <c r="R58" s="21">
        <f>SUMIF($M$52:$M$57,D58,$R$52:$R$57)</f>
        <v>1538032.4311327077</v>
      </c>
      <c r="S58" s="21">
        <f>SUMIF($M$52:$M$57,D58,$S$52:$S$57)</f>
        <v>6160397.0719402656</v>
      </c>
      <c r="T58" s="96"/>
      <c r="U58" s="19"/>
    </row>
    <row r="59" spans="1:21" s="20" customFormat="1" ht="15" customHeight="1" x14ac:dyDescent="0.25">
      <c r="A59" s="237"/>
      <c r="B59" s="238"/>
      <c r="C59" s="238"/>
      <c r="D59" s="240" t="s">
        <v>3</v>
      </c>
      <c r="E59" s="240"/>
      <c r="F59" s="240"/>
      <c r="G59" s="240"/>
      <c r="H59" s="240"/>
      <c r="I59" s="240"/>
      <c r="J59" s="240"/>
      <c r="K59" s="240"/>
      <c r="L59" s="240"/>
      <c r="M59" s="97"/>
      <c r="N59" s="22">
        <f>SUMIF($M$52:$M$57,D59,$N$52:$N$57)</f>
        <v>0</v>
      </c>
      <c r="O59" s="22">
        <f>SUMIF($M$52:$M$57,D59,$O$52:$O$57)</f>
        <v>135149852.11000001</v>
      </c>
      <c r="P59" s="22"/>
      <c r="Q59" s="22">
        <f>SUMIF($M$52:$M$57,D59,$Q$52:$Q$57)</f>
        <v>22970466.768378194</v>
      </c>
      <c r="R59" s="22">
        <f>SUMIF($M$52:$M$57,D59,$R$52:$R$57)</f>
        <v>2417296.3912257482</v>
      </c>
      <c r="S59" s="22">
        <f>SUMIF($M$52:$M$57,D59,$S$52:$S$57)</f>
        <v>112179385.3416218</v>
      </c>
      <c r="T59" s="98"/>
      <c r="U59" s="19"/>
    </row>
    <row r="60" spans="1:21" s="20" customFormat="1" ht="15" customHeight="1" x14ac:dyDescent="0.25">
      <c r="A60" s="237"/>
      <c r="B60" s="238"/>
      <c r="C60" s="238"/>
      <c r="D60" s="240" t="s">
        <v>57</v>
      </c>
      <c r="E60" s="240"/>
      <c r="F60" s="240"/>
      <c r="G60" s="240"/>
      <c r="H60" s="240"/>
      <c r="I60" s="240"/>
      <c r="J60" s="240"/>
      <c r="K60" s="240"/>
      <c r="L60" s="240"/>
      <c r="M60" s="97"/>
      <c r="N60" s="22">
        <f>SUMIF($M$52:$M$57,D60,$N$52:$N$57)</f>
        <v>0</v>
      </c>
      <c r="O60" s="22">
        <f>SUMIF($M$52:$M$57,D60,$O$52:$O$57)</f>
        <v>0</v>
      </c>
      <c r="P60" s="22"/>
      <c r="Q60" s="22">
        <f>SUMIF($M$52:$M$57,D60,$Q$52:$Q$57)</f>
        <v>0</v>
      </c>
      <c r="R60" s="22">
        <f>SUMIF($M$52:$M$57,D60,$R$52:$R$57)</f>
        <v>0</v>
      </c>
      <c r="S60" s="22">
        <f>SUMIF($M$52:$M$57,D60,$S$52:$S$57)</f>
        <v>0</v>
      </c>
      <c r="T60" s="98"/>
      <c r="U60" s="19"/>
    </row>
    <row r="61" spans="1:21" s="20" customFormat="1" ht="15" customHeight="1" thickBot="1" x14ac:dyDescent="0.3">
      <c r="A61" s="249"/>
      <c r="B61" s="250"/>
      <c r="C61" s="250"/>
      <c r="D61" s="251" t="s">
        <v>77</v>
      </c>
      <c r="E61" s="251"/>
      <c r="F61" s="251"/>
      <c r="G61" s="251"/>
      <c r="H61" s="251"/>
      <c r="I61" s="251"/>
      <c r="J61" s="251"/>
      <c r="K61" s="251"/>
      <c r="L61" s="251"/>
      <c r="M61" s="102"/>
      <c r="N61" s="23">
        <f>SUMIF($M$52:$M$57,D61,$N$52:$N$57)</f>
        <v>0</v>
      </c>
      <c r="O61" s="23">
        <f>SUMIF($M$52:$M$57,D61,$O$52:$O$57)</f>
        <v>0</v>
      </c>
      <c r="P61" s="23"/>
      <c r="Q61" s="23">
        <f>SUMIF($M$52:$M$57,D61,$Q$52:$Q$57)</f>
        <v>0</v>
      </c>
      <c r="R61" s="23">
        <f>SUMIF($M$52:$M$57,D61,$R$52:$R$57)</f>
        <v>0</v>
      </c>
      <c r="S61" s="23">
        <f>SUMIF($M$52:$M$57,D61,$S$52:$S$57)</f>
        <v>0</v>
      </c>
      <c r="T61" s="103"/>
      <c r="U61" s="19"/>
    </row>
    <row r="62" spans="1:21" s="13" customFormat="1" ht="91.5" customHeight="1" outlineLevel="1" x14ac:dyDescent="0.25">
      <c r="A62" s="27">
        <v>34</v>
      </c>
      <c r="B62" s="59" t="s">
        <v>138</v>
      </c>
      <c r="C62" s="59" t="s">
        <v>139</v>
      </c>
      <c r="D62" s="59" t="s">
        <v>107</v>
      </c>
      <c r="E62" s="59"/>
      <c r="F62" s="59"/>
      <c r="G62" s="59"/>
      <c r="H62" s="59"/>
      <c r="I62" s="59"/>
      <c r="J62" s="59"/>
      <c r="K62" s="108" t="s">
        <v>344</v>
      </c>
      <c r="L62" s="59" t="s">
        <v>140</v>
      </c>
      <c r="M62" s="59" t="s">
        <v>3</v>
      </c>
      <c r="N62" s="49">
        <v>74000000000</v>
      </c>
      <c r="O62" s="49">
        <v>74000000000</v>
      </c>
      <c r="P62" s="60" t="s">
        <v>141</v>
      </c>
      <c r="Q62" s="49">
        <f>38761904762.2+1761904761.9+1761904761.9+1761904761.9+1761904761.9+1761904761.9+1761904761.9+1761904761.9+1761904761.9+1761904761.9+1761904761.9+1761904761.9+1761904761.9+1761904761.9+1761904761.9</f>
        <v>63428571428.800018</v>
      </c>
      <c r="R62" s="49">
        <f>27000442621.6+339655076+452522803+1282602.5+1775075.4+2158135.7+3391292+3227331.6+129991976+1018964.4</f>
        <v>27935465878.200001</v>
      </c>
      <c r="S62" s="55">
        <f>O62-Q62</f>
        <v>10571428571.199982</v>
      </c>
      <c r="T62" s="58" t="s">
        <v>82</v>
      </c>
      <c r="U62" s="12"/>
    </row>
    <row r="63" spans="1:21" s="13" customFormat="1" ht="91.5" customHeight="1" outlineLevel="1" x14ac:dyDescent="0.25">
      <c r="A63" s="27">
        <v>35</v>
      </c>
      <c r="B63" s="59" t="s">
        <v>138</v>
      </c>
      <c r="C63" s="59" t="s">
        <v>142</v>
      </c>
      <c r="D63" s="59" t="s">
        <v>291</v>
      </c>
      <c r="E63" s="59"/>
      <c r="F63" s="59"/>
      <c r="G63" s="59"/>
      <c r="H63" s="59"/>
      <c r="I63" s="59"/>
      <c r="J63" s="59"/>
      <c r="K63" s="108" t="s">
        <v>345</v>
      </c>
      <c r="L63" s="59" t="s">
        <v>143</v>
      </c>
      <c r="M63" s="59" t="s">
        <v>3</v>
      </c>
      <c r="N63" s="49">
        <v>2035890300</v>
      </c>
      <c r="O63" s="49">
        <v>2035890300</v>
      </c>
      <c r="P63" s="60" t="s">
        <v>50</v>
      </c>
      <c r="Q63" s="49">
        <v>0</v>
      </c>
      <c r="R63" s="49">
        <v>0</v>
      </c>
      <c r="S63" s="55">
        <f t="shared" ref="S63:S68" si="4">O63-Q63</f>
        <v>2035890300</v>
      </c>
      <c r="T63" s="58" t="s">
        <v>82</v>
      </c>
      <c r="U63" s="12"/>
    </row>
    <row r="64" spans="1:21" ht="121.5" outlineLevel="1" x14ac:dyDescent="0.25">
      <c r="A64" s="104">
        <v>36</v>
      </c>
      <c r="B64" s="54" t="s">
        <v>144</v>
      </c>
      <c r="C64" s="59" t="s">
        <v>145</v>
      </c>
      <c r="D64" s="56" t="s">
        <v>33</v>
      </c>
      <c r="E64" s="57" t="s">
        <v>35</v>
      </c>
      <c r="F64" s="55">
        <v>3500000</v>
      </c>
      <c r="G64" s="55">
        <v>3500000</v>
      </c>
      <c r="H64" s="60">
        <v>7.4999999999999997E-3</v>
      </c>
      <c r="I64" s="52">
        <v>0</v>
      </c>
      <c r="J64" s="55">
        <f>G64-I64</f>
        <v>3500000</v>
      </c>
      <c r="K64" s="61" t="s">
        <v>346</v>
      </c>
      <c r="L64" s="56" t="s">
        <v>146</v>
      </c>
      <c r="M64" s="57" t="s">
        <v>35</v>
      </c>
      <c r="N64" s="49">
        <v>3500000</v>
      </c>
      <c r="O64" s="49">
        <v>3500000</v>
      </c>
      <c r="P64" s="60">
        <v>7.4999999999999997E-3</v>
      </c>
      <c r="Q64" s="49">
        <f>696000+31440060/542.07+58000+24255020/418.19+24400600/420.7</f>
        <v>928000</v>
      </c>
      <c r="R64" s="49">
        <f>399592.922231146+10515+10297.5+4215355.2/418.19+4149153.8/420.7</f>
        <v>440347.92234999558</v>
      </c>
      <c r="S64" s="55">
        <f t="shared" si="4"/>
        <v>2572000</v>
      </c>
      <c r="T64" s="58" t="s">
        <v>82</v>
      </c>
    </row>
    <row r="65" spans="1:21" ht="69" customHeight="1" outlineLevel="1" x14ac:dyDescent="0.25">
      <c r="A65" s="27">
        <v>37</v>
      </c>
      <c r="B65" s="54" t="s">
        <v>147</v>
      </c>
      <c r="C65" s="59" t="s">
        <v>148</v>
      </c>
      <c r="D65" s="59" t="s">
        <v>149</v>
      </c>
      <c r="E65" s="53" t="s">
        <v>463</v>
      </c>
      <c r="F65" s="80">
        <v>1173750</v>
      </c>
      <c r="G65" s="80">
        <v>1109413</v>
      </c>
      <c r="H65" s="72"/>
      <c r="I65" s="80"/>
      <c r="J65" s="80"/>
      <c r="K65" s="53" t="s">
        <v>347</v>
      </c>
      <c r="L65" s="56" t="s">
        <v>150</v>
      </c>
      <c r="M65" s="57" t="s">
        <v>57</v>
      </c>
      <c r="N65" s="55">
        <v>1689937.9</v>
      </c>
      <c r="O65" s="49">
        <v>1689937.9</v>
      </c>
      <c r="P65" s="72">
        <v>5.9900000000000002E-2</v>
      </c>
      <c r="Q65" s="49">
        <f>872805.23+28165</f>
        <v>900970.23</v>
      </c>
      <c r="R65" s="49">
        <f>1964862.47+25588.58</f>
        <v>1990451.05</v>
      </c>
      <c r="S65" s="55">
        <f t="shared" si="4"/>
        <v>788967.66999999993</v>
      </c>
      <c r="T65" s="109" t="s">
        <v>82</v>
      </c>
    </row>
    <row r="66" spans="1:21" ht="69.75" customHeight="1" outlineLevel="1" x14ac:dyDescent="0.25">
      <c r="A66" s="104">
        <v>38</v>
      </c>
      <c r="B66" s="54" t="s">
        <v>151</v>
      </c>
      <c r="C66" s="59" t="s">
        <v>152</v>
      </c>
      <c r="D66" s="59" t="s">
        <v>149</v>
      </c>
      <c r="E66" s="57" t="s">
        <v>57</v>
      </c>
      <c r="F66" s="80">
        <v>2828000</v>
      </c>
      <c r="G66" s="80">
        <v>2828000</v>
      </c>
      <c r="H66" s="72"/>
      <c r="I66" s="80"/>
      <c r="J66" s="80"/>
      <c r="K66" s="53" t="s">
        <v>348</v>
      </c>
      <c r="L66" s="56" t="s">
        <v>153</v>
      </c>
      <c r="M66" s="57" t="s">
        <v>57</v>
      </c>
      <c r="N66" s="55">
        <v>2828000</v>
      </c>
      <c r="O66" s="49">
        <v>2828000</v>
      </c>
      <c r="P66" s="72">
        <v>5.9900000000000002E-2</v>
      </c>
      <c r="Q66" s="55">
        <v>1128831.5</v>
      </c>
      <c r="R66" s="49">
        <v>1731608.85</v>
      </c>
      <c r="S66" s="55">
        <f t="shared" si="4"/>
        <v>1699168.5</v>
      </c>
      <c r="T66" s="109" t="s">
        <v>82</v>
      </c>
    </row>
    <row r="67" spans="1:21" s="15" customFormat="1" ht="177" customHeight="1" outlineLevel="1" x14ac:dyDescent="0.2">
      <c r="A67" s="27">
        <v>39</v>
      </c>
      <c r="B67" s="54" t="s">
        <v>154</v>
      </c>
      <c r="C67" s="59" t="s">
        <v>155</v>
      </c>
      <c r="D67" s="59" t="s">
        <v>149</v>
      </c>
      <c r="E67" s="53" t="s">
        <v>463</v>
      </c>
      <c r="F67" s="80">
        <v>7900000</v>
      </c>
      <c r="G67" s="110"/>
      <c r="H67" s="110"/>
      <c r="I67" s="110"/>
      <c r="J67" s="110"/>
      <c r="K67" s="56" t="s">
        <v>349</v>
      </c>
      <c r="L67" s="56" t="s">
        <v>156</v>
      </c>
      <c r="M67" s="59" t="s">
        <v>3</v>
      </c>
      <c r="N67" s="111">
        <v>2092000000</v>
      </c>
      <c r="O67" s="49">
        <v>2092000000</v>
      </c>
      <c r="P67" s="112">
        <v>0.02</v>
      </c>
      <c r="Q67" s="49">
        <f>354576270+35457627.1+35457627</f>
        <v>425491524.10000002</v>
      </c>
      <c r="R67" s="49">
        <f>426427783.87+17517039.3+16879773.4</f>
        <v>460824596.56999999</v>
      </c>
      <c r="S67" s="55">
        <f t="shared" si="4"/>
        <v>1666508475.9000001</v>
      </c>
      <c r="T67" s="109" t="s">
        <v>82</v>
      </c>
      <c r="U67" s="14"/>
    </row>
    <row r="68" spans="1:21" s="15" customFormat="1" ht="169.5" customHeight="1" outlineLevel="1" thickBot="1" x14ac:dyDescent="0.25">
      <c r="A68" s="104">
        <v>40</v>
      </c>
      <c r="B68" s="54" t="s">
        <v>154</v>
      </c>
      <c r="C68" s="59" t="s">
        <v>157</v>
      </c>
      <c r="D68" s="59" t="s">
        <v>149</v>
      </c>
      <c r="E68" s="53"/>
      <c r="F68" s="80"/>
      <c r="G68" s="110"/>
      <c r="H68" s="110"/>
      <c r="I68" s="110"/>
      <c r="J68" s="110"/>
      <c r="K68" s="56" t="s">
        <v>350</v>
      </c>
      <c r="L68" s="56" t="s">
        <v>158</v>
      </c>
      <c r="M68" s="56" t="s">
        <v>3</v>
      </c>
      <c r="N68" s="111">
        <v>2187306400</v>
      </c>
      <c r="O68" s="111">
        <v>2187306400</v>
      </c>
      <c r="P68" s="112">
        <v>0.03</v>
      </c>
      <c r="Q68" s="49">
        <v>0</v>
      </c>
      <c r="R68" s="49">
        <f>224789707.9+33079263.9+32539928.1</f>
        <v>290408899.90000004</v>
      </c>
      <c r="S68" s="55">
        <f t="shared" si="4"/>
        <v>2187306400</v>
      </c>
      <c r="T68" s="109" t="s">
        <v>82</v>
      </c>
      <c r="U68" s="14"/>
    </row>
    <row r="69" spans="1:21" s="20" customFormat="1" ht="15" customHeight="1" x14ac:dyDescent="0.25">
      <c r="A69" s="235" t="s">
        <v>159</v>
      </c>
      <c r="B69" s="236"/>
      <c r="C69" s="236"/>
      <c r="D69" s="239" t="s">
        <v>35</v>
      </c>
      <c r="E69" s="239"/>
      <c r="F69" s="239"/>
      <c r="G69" s="239"/>
      <c r="H69" s="239"/>
      <c r="I69" s="239"/>
      <c r="J69" s="239"/>
      <c r="K69" s="239"/>
      <c r="L69" s="239"/>
      <c r="M69" s="95"/>
      <c r="N69" s="24">
        <f>SUMIF($M$62:$M$68,D69,$N$62:$N$68)</f>
        <v>3500000</v>
      </c>
      <c r="O69" s="24">
        <f>SUMIF($M$62:$M$68,D69,$O$62:$O$68)</f>
        <v>3500000</v>
      </c>
      <c r="P69" s="24"/>
      <c r="Q69" s="24">
        <f>SUMIF($M$62:$M$68,D69,$Q$62:$Q$68)</f>
        <v>928000</v>
      </c>
      <c r="R69" s="24">
        <f>SUMIF($M$62:$M$68,D69,$R$62:$R$68)</f>
        <v>440347.92234999558</v>
      </c>
      <c r="S69" s="24">
        <f>SUMIF($M$62:$M$68,D69,$S$62:$S$68)</f>
        <v>2572000</v>
      </c>
      <c r="T69" s="96"/>
      <c r="U69" s="19"/>
    </row>
    <row r="70" spans="1:21" s="20" customFormat="1" ht="15" customHeight="1" x14ac:dyDescent="0.25">
      <c r="A70" s="237"/>
      <c r="B70" s="238"/>
      <c r="C70" s="238"/>
      <c r="D70" s="240" t="s">
        <v>3</v>
      </c>
      <c r="E70" s="240"/>
      <c r="F70" s="240"/>
      <c r="G70" s="240"/>
      <c r="H70" s="240"/>
      <c r="I70" s="240"/>
      <c r="J70" s="240"/>
      <c r="K70" s="240"/>
      <c r="L70" s="240"/>
      <c r="M70" s="97"/>
      <c r="N70" s="22">
        <f>SUMIF($M$62:$M$68,D70,$N$62:$N$68)</f>
        <v>80315196700</v>
      </c>
      <c r="O70" s="22">
        <f>SUMIF($M$62:$M$68,D70,$O$62:$O$68)</f>
        <v>80315196700</v>
      </c>
      <c r="P70" s="22"/>
      <c r="Q70" s="22">
        <f>SUMIF($M$62:$M$68,D70,$Q$62:$Q$68)</f>
        <v>63854062952.900017</v>
      </c>
      <c r="R70" s="22">
        <f>SUMIF($M$62:$M$68,D70,$R$62:$R$68)</f>
        <v>28686699374.670002</v>
      </c>
      <c r="S70" s="22">
        <f>SUMIF($M$62:$M$68,D70,$S$62:$S$68)</f>
        <v>16461133747.099981</v>
      </c>
      <c r="T70" s="98"/>
      <c r="U70" s="19"/>
    </row>
    <row r="71" spans="1:21" s="20" customFormat="1" ht="15" customHeight="1" x14ac:dyDescent="0.25">
      <c r="A71" s="237"/>
      <c r="B71" s="238"/>
      <c r="C71" s="238"/>
      <c r="D71" s="240" t="s">
        <v>57</v>
      </c>
      <c r="E71" s="240"/>
      <c r="F71" s="240"/>
      <c r="G71" s="240"/>
      <c r="H71" s="240"/>
      <c r="I71" s="240"/>
      <c r="J71" s="240"/>
      <c r="K71" s="240"/>
      <c r="L71" s="240"/>
      <c r="M71" s="97"/>
      <c r="N71" s="22">
        <f>SUMIF($M$62:$M$68,D71,$N$62:$N$68)</f>
        <v>4517937.9000000004</v>
      </c>
      <c r="O71" s="22">
        <f>SUMIF($M$62:$M$68,D71,$O$62:$O$68)</f>
        <v>4517937.9000000004</v>
      </c>
      <c r="P71" s="22"/>
      <c r="Q71" s="22">
        <f>SUMIF($M$62:$M$68,D71,$Q$62:$Q$68)</f>
        <v>2029801.73</v>
      </c>
      <c r="R71" s="22">
        <f>SUMIF($M$62:$M$68,D71,$R$62:$R$68)</f>
        <v>3722059.9000000004</v>
      </c>
      <c r="S71" s="22">
        <f>SUMIF($M$62:$M$68,D71,$S$62:$S$68)</f>
        <v>2488136.17</v>
      </c>
      <c r="T71" s="98"/>
      <c r="U71" s="19"/>
    </row>
    <row r="72" spans="1:21" s="20" customFormat="1" ht="15" thickBot="1" x14ac:dyDescent="0.3">
      <c r="A72" s="249"/>
      <c r="B72" s="250"/>
      <c r="C72" s="250"/>
      <c r="D72" s="251" t="s">
        <v>77</v>
      </c>
      <c r="E72" s="251"/>
      <c r="F72" s="251"/>
      <c r="G72" s="251"/>
      <c r="H72" s="251"/>
      <c r="I72" s="251"/>
      <c r="J72" s="251"/>
      <c r="K72" s="251"/>
      <c r="L72" s="251"/>
      <c r="M72" s="102"/>
      <c r="N72" s="23">
        <f>SUMIF($M$62:$M$68,D72,$N$62:$N$68)</f>
        <v>0</v>
      </c>
      <c r="O72" s="23">
        <f>SUMIF($M$62:$M$68,D72,$O$62:$O$68)</f>
        <v>0</v>
      </c>
      <c r="P72" s="23"/>
      <c r="Q72" s="23">
        <f>SUMIF($M$62:$M$68,D72,$Q$62:$Q$68)</f>
        <v>0</v>
      </c>
      <c r="R72" s="23">
        <f>SUMIF($M$62:$M$68,D72,$R$62:$R$68)</f>
        <v>0</v>
      </c>
      <c r="S72" s="23">
        <f>SUMIF($M$62:$M$68,D72,$S$62:$S$68)</f>
        <v>0</v>
      </c>
      <c r="T72" s="103"/>
      <c r="U72" s="19"/>
    </row>
    <row r="73" spans="1:21" s="13" customFormat="1" ht="77.25" customHeight="1" outlineLevel="1" x14ac:dyDescent="0.25">
      <c r="A73" s="27">
        <v>41</v>
      </c>
      <c r="B73" s="54" t="s">
        <v>160</v>
      </c>
      <c r="C73" s="59" t="s">
        <v>161</v>
      </c>
      <c r="D73" s="59" t="s">
        <v>99</v>
      </c>
      <c r="E73" s="59"/>
      <c r="F73" s="59"/>
      <c r="G73" s="59"/>
      <c r="H73" s="59"/>
      <c r="I73" s="59"/>
      <c r="J73" s="59"/>
      <c r="K73" s="59" t="s">
        <v>351</v>
      </c>
      <c r="L73" s="59" t="s">
        <v>162</v>
      </c>
      <c r="M73" s="57" t="s">
        <v>57</v>
      </c>
      <c r="N73" s="49">
        <v>361332</v>
      </c>
      <c r="O73" s="49">
        <v>361332</v>
      </c>
      <c r="P73" s="60">
        <v>7.7700000000000005E-2</v>
      </c>
      <c r="Q73" s="49">
        <f>162402.753184719+8510000/490.37+(1000000+1000000+500000)/395.19+10099.73+2000000/388.21</f>
        <v>201334.64770562557</v>
      </c>
      <c r="R73" s="49">
        <f>187530</f>
        <v>187530</v>
      </c>
      <c r="S73" s="55">
        <f>O73-Q73</f>
        <v>159997.35229437443</v>
      </c>
      <c r="T73" s="58" t="s">
        <v>163</v>
      </c>
      <c r="U73" s="12"/>
    </row>
    <row r="74" spans="1:21" ht="64.5" customHeight="1" outlineLevel="1" x14ac:dyDescent="0.25">
      <c r="A74" s="27">
        <v>42</v>
      </c>
      <c r="B74" s="54" t="s">
        <v>164</v>
      </c>
      <c r="C74" s="59" t="s">
        <v>165</v>
      </c>
      <c r="D74" s="81" t="s">
        <v>124</v>
      </c>
      <c r="E74" s="53"/>
      <c r="F74" s="53"/>
      <c r="G74" s="53"/>
      <c r="H74" s="53"/>
      <c r="I74" s="53"/>
      <c r="J74" s="53"/>
      <c r="K74" s="61" t="s">
        <v>352</v>
      </c>
      <c r="L74" s="49" t="s">
        <v>166</v>
      </c>
      <c r="M74" s="57" t="s">
        <v>35</v>
      </c>
      <c r="N74" s="49">
        <v>8000000</v>
      </c>
      <c r="O74" s="49">
        <v>80000</v>
      </c>
      <c r="P74" s="60" t="s">
        <v>50</v>
      </c>
      <c r="Q74" s="49">
        <f>10909.09+3636.36+3636.36+1428217/392.76+1554016/427.35</f>
        <v>25454.571703756206</v>
      </c>
      <c r="R74" s="49">
        <f>105386.95+361.72+42360.02+4761284/392.76+5116448/427.35</f>
        <v>172203.81988818216</v>
      </c>
      <c r="S74" s="55">
        <f>O74-Q74</f>
        <v>54545.428296243794</v>
      </c>
      <c r="T74" s="58" t="s">
        <v>167</v>
      </c>
    </row>
    <row r="75" spans="1:21" ht="53.25" customHeight="1" outlineLevel="1" x14ac:dyDescent="0.25">
      <c r="A75" s="27">
        <v>43</v>
      </c>
      <c r="B75" s="54" t="s">
        <v>164</v>
      </c>
      <c r="C75" s="59" t="s">
        <v>168</v>
      </c>
      <c r="D75" s="81" t="s">
        <v>132</v>
      </c>
      <c r="E75" s="53"/>
      <c r="F75" s="53"/>
      <c r="G75" s="53"/>
      <c r="H75" s="53"/>
      <c r="I75" s="53"/>
      <c r="J75" s="53"/>
      <c r="K75" s="61" t="s">
        <v>353</v>
      </c>
      <c r="L75" s="49" t="s">
        <v>166</v>
      </c>
      <c r="M75" s="57" t="s">
        <v>35</v>
      </c>
      <c r="N75" s="49">
        <v>8000000</v>
      </c>
      <c r="O75" s="49"/>
      <c r="P75" s="60" t="s">
        <v>50</v>
      </c>
      <c r="Q75" s="49"/>
      <c r="R75" s="49"/>
      <c r="S75" s="55">
        <f>O75-Q75</f>
        <v>0</v>
      </c>
      <c r="T75" s="58" t="s">
        <v>167</v>
      </c>
    </row>
    <row r="76" spans="1:21" ht="53.25" customHeight="1" outlineLevel="1" x14ac:dyDescent="0.25">
      <c r="A76" s="201">
        <v>44</v>
      </c>
      <c r="B76" s="210" t="s">
        <v>169</v>
      </c>
      <c r="C76" s="202" t="s">
        <v>271</v>
      </c>
      <c r="D76" s="81"/>
      <c r="E76" s="53"/>
      <c r="F76" s="53"/>
      <c r="G76" s="53"/>
      <c r="H76" s="53"/>
      <c r="I76" s="53"/>
      <c r="J76" s="53"/>
      <c r="K76" s="61" t="s">
        <v>354</v>
      </c>
      <c r="L76" s="202" t="s">
        <v>292</v>
      </c>
      <c r="M76" s="57" t="s">
        <v>35</v>
      </c>
      <c r="N76" s="49">
        <v>5500000</v>
      </c>
      <c r="O76" s="49">
        <f>1384955.78+492272.39</f>
        <v>1877228.17</v>
      </c>
      <c r="P76" s="60" t="s">
        <v>50</v>
      </c>
      <c r="Q76" s="49"/>
      <c r="R76" s="49"/>
      <c r="S76" s="55">
        <f t="shared" ref="S76:S82" si="5">O76-Q76</f>
        <v>1877228.17</v>
      </c>
      <c r="T76" s="58" t="s">
        <v>82</v>
      </c>
    </row>
    <row r="77" spans="1:21" ht="20.25" customHeight="1" outlineLevel="1" x14ac:dyDescent="0.25">
      <c r="A77" s="191"/>
      <c r="B77" s="211"/>
      <c r="C77" s="194"/>
      <c r="D77" s="81"/>
      <c r="E77" s="53"/>
      <c r="F77" s="53"/>
      <c r="G77" s="53"/>
      <c r="H77" s="53"/>
      <c r="I77" s="53"/>
      <c r="J77" s="53"/>
      <c r="K77" s="61"/>
      <c r="L77" s="194"/>
      <c r="M77" s="56" t="s">
        <v>3</v>
      </c>
      <c r="N77" s="49">
        <v>92733053.200000003</v>
      </c>
      <c r="O77" s="49">
        <f>92733053.2+20276600+1679251+16492341.9+20399976.4+42969092</f>
        <v>194550314.5</v>
      </c>
      <c r="P77" s="60"/>
      <c r="Q77" s="49"/>
      <c r="R77" s="49"/>
      <c r="S77" s="55">
        <f t="shared" si="5"/>
        <v>194550314.5</v>
      </c>
      <c r="T77" s="58"/>
    </row>
    <row r="78" spans="1:21" ht="54" outlineLevel="1" x14ac:dyDescent="0.25">
      <c r="A78" s="27">
        <v>45</v>
      </c>
      <c r="B78" s="54" t="s">
        <v>170</v>
      </c>
      <c r="C78" s="59" t="s">
        <v>171</v>
      </c>
      <c r="D78" s="59" t="s">
        <v>119</v>
      </c>
      <c r="E78" s="53"/>
      <c r="F78" s="53"/>
      <c r="G78" s="53"/>
      <c r="H78" s="53"/>
      <c r="I78" s="53"/>
      <c r="J78" s="53"/>
      <c r="K78" s="61" t="s">
        <v>355</v>
      </c>
      <c r="L78" s="49" t="s">
        <v>172</v>
      </c>
      <c r="M78" s="56" t="s">
        <v>3</v>
      </c>
      <c r="N78" s="49">
        <v>249300000</v>
      </c>
      <c r="O78" s="49">
        <v>249300000</v>
      </c>
      <c r="P78" s="67">
        <v>1E-3</v>
      </c>
      <c r="Q78" s="49">
        <v>42881892.899999999</v>
      </c>
      <c r="R78" s="49">
        <v>528153.5</v>
      </c>
      <c r="S78" s="55">
        <f t="shared" si="5"/>
        <v>206418107.09999999</v>
      </c>
      <c r="T78" s="58" t="s">
        <v>82</v>
      </c>
    </row>
    <row r="79" spans="1:21" ht="148.5" outlineLevel="1" x14ac:dyDescent="0.25">
      <c r="A79" s="27">
        <v>46</v>
      </c>
      <c r="B79" s="113" t="s">
        <v>113</v>
      </c>
      <c r="C79" s="76" t="s">
        <v>114</v>
      </c>
      <c r="D79" s="81" t="s">
        <v>107</v>
      </c>
      <c r="E79" s="53"/>
      <c r="F79" s="53"/>
      <c r="G79" s="53"/>
      <c r="H79" s="53"/>
      <c r="I79" s="53"/>
      <c r="J79" s="53"/>
      <c r="K79" s="106" t="s">
        <v>356</v>
      </c>
      <c r="L79" s="107" t="s">
        <v>115</v>
      </c>
      <c r="M79" s="57" t="s">
        <v>57</v>
      </c>
      <c r="N79" s="49">
        <v>4000000</v>
      </c>
      <c r="O79" s="49">
        <v>776598.69</v>
      </c>
      <c r="P79" s="60" t="s">
        <v>50</v>
      </c>
      <c r="Q79" s="49">
        <v>465353.90575368248</v>
      </c>
      <c r="R79" s="49">
        <v>188098.17996449812</v>
      </c>
      <c r="S79" s="64">
        <f>O79-Q79</f>
        <v>311244.78424631746</v>
      </c>
      <c r="T79" s="86" t="s">
        <v>116</v>
      </c>
    </row>
    <row r="80" spans="1:21" s="15" customFormat="1" ht="40.5" outlineLevel="1" x14ac:dyDescent="0.2">
      <c r="A80" s="27">
        <v>47</v>
      </c>
      <c r="B80" s="54" t="s">
        <v>173</v>
      </c>
      <c r="C80" s="59" t="s">
        <v>139</v>
      </c>
      <c r="D80" s="56" t="s">
        <v>107</v>
      </c>
      <c r="E80" s="53" t="s">
        <v>3</v>
      </c>
      <c r="F80" s="53"/>
      <c r="G80" s="59"/>
      <c r="H80" s="59"/>
      <c r="I80" s="59"/>
      <c r="J80" s="59"/>
      <c r="K80" s="56" t="s">
        <v>357</v>
      </c>
      <c r="L80" s="56" t="s">
        <v>307</v>
      </c>
      <c r="M80" s="56" t="s">
        <v>3</v>
      </c>
      <c r="N80" s="111">
        <v>50600000</v>
      </c>
      <c r="O80" s="49">
        <v>50600000</v>
      </c>
      <c r="P80" s="54" t="s">
        <v>174</v>
      </c>
      <c r="Q80" s="49"/>
      <c r="R80" s="49"/>
      <c r="S80" s="111">
        <f t="shared" si="5"/>
        <v>50600000</v>
      </c>
      <c r="T80" s="58" t="s">
        <v>82</v>
      </c>
      <c r="U80" s="14"/>
    </row>
    <row r="81" spans="1:21" s="15" customFormat="1" ht="40.5" outlineLevel="1" x14ac:dyDescent="0.2">
      <c r="A81" s="27">
        <v>48</v>
      </c>
      <c r="B81" s="54" t="s">
        <v>173</v>
      </c>
      <c r="C81" s="59" t="s">
        <v>139</v>
      </c>
      <c r="D81" s="56" t="s">
        <v>107</v>
      </c>
      <c r="E81" s="53" t="s">
        <v>3</v>
      </c>
      <c r="F81" s="53"/>
      <c r="G81" s="53"/>
      <c r="H81" s="53"/>
      <c r="I81" s="53"/>
      <c r="J81" s="53"/>
      <c r="K81" s="56" t="s">
        <v>358</v>
      </c>
      <c r="L81" s="56" t="s">
        <v>308</v>
      </c>
      <c r="M81" s="59" t="s">
        <v>3</v>
      </c>
      <c r="N81" s="111">
        <v>1100000000</v>
      </c>
      <c r="O81" s="49">
        <v>1100000000</v>
      </c>
      <c r="P81" s="54" t="s">
        <v>174</v>
      </c>
      <c r="Q81" s="49"/>
      <c r="R81" s="49"/>
      <c r="S81" s="111">
        <f t="shared" si="5"/>
        <v>1100000000</v>
      </c>
      <c r="T81" s="253" t="s">
        <v>274</v>
      </c>
      <c r="U81" s="14"/>
    </row>
    <row r="82" spans="1:21" s="15" customFormat="1" ht="40.5" outlineLevel="1" x14ac:dyDescent="0.2">
      <c r="A82" s="27">
        <v>49</v>
      </c>
      <c r="B82" s="54" t="s">
        <v>173</v>
      </c>
      <c r="C82" s="59" t="s">
        <v>139</v>
      </c>
      <c r="D82" s="56" t="s">
        <v>107</v>
      </c>
      <c r="E82" s="53" t="s">
        <v>3</v>
      </c>
      <c r="F82" s="53"/>
      <c r="G82" s="53"/>
      <c r="H82" s="53"/>
      <c r="I82" s="53"/>
      <c r="J82" s="53"/>
      <c r="K82" s="56" t="s">
        <v>359</v>
      </c>
      <c r="L82" s="56" t="s">
        <v>309</v>
      </c>
      <c r="M82" s="59" t="s">
        <v>3</v>
      </c>
      <c r="N82" s="111">
        <v>792386600</v>
      </c>
      <c r="O82" s="49">
        <v>791031693</v>
      </c>
      <c r="P82" s="54" t="s">
        <v>174</v>
      </c>
      <c r="Q82" s="49"/>
      <c r="R82" s="49"/>
      <c r="S82" s="111">
        <f t="shared" si="5"/>
        <v>791031693</v>
      </c>
      <c r="T82" s="254"/>
      <c r="U82" s="14"/>
    </row>
    <row r="83" spans="1:21" s="15" customFormat="1" ht="40.5" outlineLevel="1" x14ac:dyDescent="0.2">
      <c r="A83" s="27">
        <v>50</v>
      </c>
      <c r="B83" s="54" t="s">
        <v>173</v>
      </c>
      <c r="C83" s="59" t="s">
        <v>139</v>
      </c>
      <c r="D83" s="56" t="s">
        <v>107</v>
      </c>
      <c r="E83" s="53" t="s">
        <v>3</v>
      </c>
      <c r="F83" s="53"/>
      <c r="G83" s="53"/>
      <c r="H83" s="53"/>
      <c r="I83" s="53"/>
      <c r="J83" s="53"/>
      <c r="K83" s="56" t="s">
        <v>360</v>
      </c>
      <c r="L83" s="56" t="s">
        <v>310</v>
      </c>
      <c r="M83" s="59" t="s">
        <v>3</v>
      </c>
      <c r="N83" s="111">
        <v>254672300</v>
      </c>
      <c r="O83" s="49">
        <f>168444408+75498000+5196300+5196300</f>
        <v>254335008</v>
      </c>
      <c r="P83" s="54" t="s">
        <v>174</v>
      </c>
      <c r="Q83" s="49"/>
      <c r="R83" s="49"/>
      <c r="S83" s="111">
        <f>O83-Q83</f>
        <v>254335008</v>
      </c>
      <c r="T83" s="255"/>
      <c r="U83" s="14"/>
    </row>
    <row r="84" spans="1:21" s="15" customFormat="1" ht="40.5" outlineLevel="1" x14ac:dyDescent="0.2">
      <c r="A84" s="27">
        <v>51</v>
      </c>
      <c r="B84" s="54" t="s">
        <v>175</v>
      </c>
      <c r="C84" s="59" t="s">
        <v>139</v>
      </c>
      <c r="D84" s="56" t="s">
        <v>119</v>
      </c>
      <c r="E84" s="53" t="s">
        <v>3</v>
      </c>
      <c r="F84" s="53"/>
      <c r="G84" s="53"/>
      <c r="H84" s="53"/>
      <c r="I84" s="53"/>
      <c r="J84" s="53"/>
      <c r="K84" s="56" t="s">
        <v>361</v>
      </c>
      <c r="L84" s="56" t="s">
        <v>176</v>
      </c>
      <c r="M84" s="59" t="s">
        <v>3</v>
      </c>
      <c r="N84" s="111">
        <v>88731015</v>
      </c>
      <c r="O84" s="49">
        <v>88731000</v>
      </c>
      <c r="P84" s="114">
        <v>8.5000000000000006E-2</v>
      </c>
      <c r="Q84" s="49"/>
      <c r="R84" s="49">
        <v>1591081</v>
      </c>
      <c r="S84" s="111">
        <f t="shared" ref="S84:S96" si="6">O84-Q84</f>
        <v>88731000</v>
      </c>
      <c r="T84" s="109" t="s">
        <v>177</v>
      </c>
      <c r="U84" s="14"/>
    </row>
    <row r="85" spans="1:21" s="15" customFormat="1" ht="40.5" outlineLevel="1" x14ac:dyDescent="0.2">
      <c r="A85" s="27">
        <v>52</v>
      </c>
      <c r="B85" s="54" t="s">
        <v>178</v>
      </c>
      <c r="C85" s="59" t="s">
        <v>179</v>
      </c>
      <c r="D85" s="56" t="s">
        <v>119</v>
      </c>
      <c r="E85" s="53" t="s">
        <v>3</v>
      </c>
      <c r="F85" s="53"/>
      <c r="G85" s="53"/>
      <c r="H85" s="53"/>
      <c r="I85" s="53"/>
      <c r="J85" s="53"/>
      <c r="K85" s="56" t="s">
        <v>362</v>
      </c>
      <c r="L85" s="56" t="s">
        <v>180</v>
      </c>
      <c r="M85" s="59" t="s">
        <v>3</v>
      </c>
      <c r="N85" s="111">
        <v>3840000000</v>
      </c>
      <c r="O85" s="49">
        <v>3840000000</v>
      </c>
      <c r="P85" s="115">
        <v>1.0000000000000001E-5</v>
      </c>
      <c r="Q85" s="49">
        <v>3484641868</v>
      </c>
      <c r="R85" s="49">
        <v>37169</v>
      </c>
      <c r="S85" s="111">
        <f t="shared" si="6"/>
        <v>355358132</v>
      </c>
      <c r="T85" s="109" t="s">
        <v>82</v>
      </c>
      <c r="U85" s="14"/>
    </row>
    <row r="86" spans="1:21" ht="94.5" outlineLevel="1" x14ac:dyDescent="0.25">
      <c r="A86" s="27">
        <v>53</v>
      </c>
      <c r="B86" s="113" t="s">
        <v>181</v>
      </c>
      <c r="C86" s="76" t="s">
        <v>179</v>
      </c>
      <c r="D86" s="76" t="s">
        <v>149</v>
      </c>
      <c r="E86" s="76"/>
      <c r="F86" s="76"/>
      <c r="G86" s="76"/>
      <c r="H86" s="76"/>
      <c r="I86" s="76"/>
      <c r="J86" s="76"/>
      <c r="K86" s="59" t="s">
        <v>363</v>
      </c>
      <c r="L86" s="59" t="s">
        <v>182</v>
      </c>
      <c r="M86" s="59" t="s">
        <v>57</v>
      </c>
      <c r="N86" s="116">
        <v>8944984.0899999999</v>
      </c>
      <c r="O86" s="49">
        <v>8944984.0899999999</v>
      </c>
      <c r="P86" s="117">
        <v>7.4999999999999997E-3</v>
      </c>
      <c r="Q86" s="49">
        <f>2425758.4+151609.9</f>
        <v>2577368.2999999998</v>
      </c>
      <c r="R86" s="49">
        <f>881276.03+25084.35+24380.12</f>
        <v>930740.5</v>
      </c>
      <c r="S86" s="55">
        <f t="shared" si="6"/>
        <v>6367615.79</v>
      </c>
      <c r="T86" s="86" t="s">
        <v>82</v>
      </c>
    </row>
    <row r="87" spans="1:21" ht="55.5" customHeight="1" outlineLevel="1" x14ac:dyDescent="0.25">
      <c r="A87" s="201">
        <v>54</v>
      </c>
      <c r="B87" s="210" t="s">
        <v>183</v>
      </c>
      <c r="C87" s="202" t="s">
        <v>179</v>
      </c>
      <c r="D87" s="202" t="s">
        <v>149</v>
      </c>
      <c r="E87" s="76"/>
      <c r="F87" s="76"/>
      <c r="G87" s="76"/>
      <c r="H87" s="76"/>
      <c r="I87" s="76"/>
      <c r="J87" s="76"/>
      <c r="K87" s="202" t="s">
        <v>364</v>
      </c>
      <c r="L87" s="59" t="s">
        <v>184</v>
      </c>
      <c r="M87" s="59" t="s">
        <v>3</v>
      </c>
      <c r="N87" s="116">
        <v>93025000</v>
      </c>
      <c r="O87" s="49">
        <v>93025000</v>
      </c>
      <c r="P87" s="117">
        <v>7.4999999999999997E-3</v>
      </c>
      <c r="Q87" s="49">
        <f>13953750+930250</f>
        <v>14884000</v>
      </c>
      <c r="R87" s="49">
        <v>294653.5</v>
      </c>
      <c r="S87" s="55">
        <f t="shared" si="6"/>
        <v>78141000</v>
      </c>
      <c r="T87" s="199" t="s">
        <v>82</v>
      </c>
    </row>
    <row r="88" spans="1:21" ht="55.5" customHeight="1" outlineLevel="1" x14ac:dyDescent="0.25">
      <c r="A88" s="191"/>
      <c r="B88" s="211"/>
      <c r="C88" s="194"/>
      <c r="D88" s="194"/>
      <c r="E88" s="76"/>
      <c r="F88" s="76"/>
      <c r="G88" s="76"/>
      <c r="H88" s="76"/>
      <c r="I88" s="76"/>
      <c r="J88" s="76"/>
      <c r="K88" s="194"/>
      <c r="L88" s="59" t="s">
        <v>184</v>
      </c>
      <c r="M88" s="59" t="s">
        <v>57</v>
      </c>
      <c r="N88" s="116">
        <v>5217725</v>
      </c>
      <c r="O88" s="49">
        <v>5217725</v>
      </c>
      <c r="P88" s="117">
        <v>7.4999999999999997E-3</v>
      </c>
      <c r="Q88" s="49">
        <f>782658.5+52177.25</f>
        <v>834835.75</v>
      </c>
      <c r="R88" s="49">
        <v>16585.93</v>
      </c>
      <c r="S88" s="55">
        <f t="shared" si="6"/>
        <v>4382889.25</v>
      </c>
      <c r="T88" s="200"/>
    </row>
    <row r="89" spans="1:21" ht="94.5" outlineLevel="1" x14ac:dyDescent="0.25">
      <c r="A89" s="27">
        <v>55</v>
      </c>
      <c r="B89" s="113" t="s">
        <v>185</v>
      </c>
      <c r="C89" s="76" t="s">
        <v>179</v>
      </c>
      <c r="D89" s="76" t="s">
        <v>149</v>
      </c>
      <c r="E89" s="76"/>
      <c r="F89" s="76"/>
      <c r="G89" s="76"/>
      <c r="H89" s="76"/>
      <c r="I89" s="76"/>
      <c r="J89" s="76"/>
      <c r="K89" s="59" t="s">
        <v>365</v>
      </c>
      <c r="L89" s="59" t="s">
        <v>186</v>
      </c>
      <c r="M89" s="59" t="s">
        <v>57</v>
      </c>
      <c r="N89" s="116">
        <v>1989000</v>
      </c>
      <c r="O89" s="49">
        <v>1989000</v>
      </c>
      <c r="P89" s="117">
        <v>7.4999999999999997E-3</v>
      </c>
      <c r="Q89" s="49">
        <f>337118.7+33711.86</f>
        <v>370830.56</v>
      </c>
      <c r="R89" s="49">
        <v>6177.58</v>
      </c>
      <c r="S89" s="55">
        <f t="shared" si="6"/>
        <v>1618169.44</v>
      </c>
      <c r="T89" s="86" t="s">
        <v>82</v>
      </c>
    </row>
    <row r="90" spans="1:21" ht="108" outlineLevel="1" x14ac:dyDescent="0.25">
      <c r="A90" s="27">
        <v>56</v>
      </c>
      <c r="B90" s="113" t="s">
        <v>311</v>
      </c>
      <c r="C90" s="76" t="s">
        <v>312</v>
      </c>
      <c r="D90" s="76" t="s">
        <v>149</v>
      </c>
      <c r="E90" s="76" t="s">
        <v>463</v>
      </c>
      <c r="F90" s="76">
        <v>2190000</v>
      </c>
      <c r="G90" s="76"/>
      <c r="H90" s="76"/>
      <c r="I90" s="76"/>
      <c r="J90" s="76"/>
      <c r="K90" s="76" t="s">
        <v>366</v>
      </c>
      <c r="L90" s="76" t="s">
        <v>313</v>
      </c>
      <c r="M90" s="59" t="s">
        <v>3</v>
      </c>
      <c r="N90" s="116">
        <v>2047212646</v>
      </c>
      <c r="O90" s="107">
        <v>2047212646</v>
      </c>
      <c r="P90" s="117">
        <v>0.02</v>
      </c>
      <c r="Q90" s="49">
        <v>0</v>
      </c>
      <c r="R90" s="49">
        <f>88017538.4+20640391</f>
        <v>108657929.40000001</v>
      </c>
      <c r="S90" s="55">
        <v>2047212646</v>
      </c>
      <c r="T90" s="86" t="s">
        <v>82</v>
      </c>
    </row>
    <row r="91" spans="1:21" ht="256.5" outlineLevel="1" x14ac:dyDescent="0.25">
      <c r="A91" s="75">
        <v>57</v>
      </c>
      <c r="B91" s="113" t="s">
        <v>187</v>
      </c>
      <c r="C91" s="76" t="s">
        <v>188</v>
      </c>
      <c r="D91" s="76" t="s">
        <v>99</v>
      </c>
      <c r="E91" s="76"/>
      <c r="F91" s="76"/>
      <c r="G91" s="76"/>
      <c r="H91" s="76"/>
      <c r="I91" s="76"/>
      <c r="J91" s="76"/>
      <c r="K91" s="76" t="s">
        <v>367</v>
      </c>
      <c r="L91" s="76" t="s">
        <v>189</v>
      </c>
      <c r="M91" s="59" t="s">
        <v>57</v>
      </c>
      <c r="N91" s="116">
        <v>2217000</v>
      </c>
      <c r="O91" s="116">
        <v>2217000</v>
      </c>
      <c r="P91" s="118">
        <v>0.02</v>
      </c>
      <c r="Q91" s="49">
        <f>1656550.78+18166.04+7000680/387.28</f>
        <v>1692793.3537740137</v>
      </c>
      <c r="R91" s="49">
        <f>108750.120345235+1633.42+698950/387.28</f>
        <v>112188.30692238848</v>
      </c>
      <c r="S91" s="55">
        <v>1010837.1</v>
      </c>
      <c r="T91" s="86" t="s">
        <v>190</v>
      </c>
    </row>
    <row r="92" spans="1:21" ht="48.75" customHeight="1" outlineLevel="1" x14ac:dyDescent="0.25">
      <c r="A92" s="27">
        <v>58</v>
      </c>
      <c r="B92" s="54" t="s">
        <v>300</v>
      </c>
      <c r="C92" s="59" t="s">
        <v>301</v>
      </c>
      <c r="D92" s="59" t="s">
        <v>302</v>
      </c>
      <c r="E92" s="59" t="s">
        <v>35</v>
      </c>
      <c r="F92" s="59">
        <v>20000000</v>
      </c>
      <c r="G92" s="59">
        <v>4199559.68</v>
      </c>
      <c r="H92" s="59" t="s">
        <v>304</v>
      </c>
      <c r="I92" s="59"/>
      <c r="J92" s="59"/>
      <c r="K92" s="59" t="s">
        <v>368</v>
      </c>
      <c r="L92" s="76" t="s">
        <v>303</v>
      </c>
      <c r="M92" s="59" t="s">
        <v>35</v>
      </c>
      <c r="N92" s="116">
        <f>4199559.68+12720691.2+1113060.48</f>
        <v>18033311.359999999</v>
      </c>
      <c r="O92" s="116">
        <f>N92</f>
        <v>18033311.359999999</v>
      </c>
      <c r="P92" s="118" t="s">
        <v>304</v>
      </c>
      <c r="Q92" s="49"/>
      <c r="R92" s="119">
        <f>77849.88+103888.1</f>
        <v>181737.98</v>
      </c>
      <c r="S92" s="55">
        <f>O92-Q92</f>
        <v>18033311.359999999</v>
      </c>
      <c r="T92" s="86" t="s">
        <v>305</v>
      </c>
    </row>
    <row r="93" spans="1:21" s="15" customFormat="1" ht="38.25" customHeight="1" outlineLevel="1" x14ac:dyDescent="0.2">
      <c r="A93" s="252">
        <v>59</v>
      </c>
      <c r="B93" s="228" t="s">
        <v>191</v>
      </c>
      <c r="C93" s="212" t="s">
        <v>192</v>
      </c>
      <c r="D93" s="212"/>
      <c r="E93" s="120" t="s">
        <v>57</v>
      </c>
      <c r="F93" s="120"/>
      <c r="G93" s="120"/>
      <c r="H93" s="120"/>
      <c r="I93" s="120"/>
      <c r="J93" s="120"/>
      <c r="K93" s="213" t="s">
        <v>369</v>
      </c>
      <c r="L93" s="204" t="s">
        <v>193</v>
      </c>
      <c r="M93" s="57" t="s">
        <v>57</v>
      </c>
      <c r="N93" s="111">
        <v>237758.39</v>
      </c>
      <c r="O93" s="49">
        <v>237758.39</v>
      </c>
      <c r="P93" s="67"/>
      <c r="Q93" s="49"/>
      <c r="R93" s="49"/>
      <c r="S93" s="111">
        <f>O93-Q93</f>
        <v>237758.39</v>
      </c>
      <c r="T93" s="199" t="s">
        <v>82</v>
      </c>
      <c r="U93" s="14"/>
    </row>
    <row r="94" spans="1:21" s="15" customFormat="1" ht="45" customHeight="1" outlineLevel="1" x14ac:dyDescent="0.2">
      <c r="A94" s="252"/>
      <c r="B94" s="211"/>
      <c r="C94" s="194"/>
      <c r="D94" s="194"/>
      <c r="E94" s="62"/>
      <c r="F94" s="62"/>
      <c r="G94" s="62"/>
      <c r="H94" s="62"/>
      <c r="I94" s="62"/>
      <c r="J94" s="62"/>
      <c r="K94" s="195"/>
      <c r="L94" s="195"/>
      <c r="M94" s="82" t="s">
        <v>3</v>
      </c>
      <c r="N94" s="121">
        <v>28883700</v>
      </c>
      <c r="O94" s="49">
        <v>28883700</v>
      </c>
      <c r="P94" s="122"/>
      <c r="Q94" s="49"/>
      <c r="R94" s="49"/>
      <c r="S94" s="111">
        <f>O94-Q94</f>
        <v>28883700</v>
      </c>
      <c r="T94" s="200"/>
      <c r="U94" s="14"/>
    </row>
    <row r="95" spans="1:21" s="13" customFormat="1" ht="40.5" customHeight="1" outlineLevel="1" x14ac:dyDescent="0.25">
      <c r="A95" s="75">
        <v>60</v>
      </c>
      <c r="B95" s="113" t="s">
        <v>117</v>
      </c>
      <c r="C95" s="76" t="s">
        <v>118</v>
      </c>
      <c r="D95" s="76" t="s">
        <v>119</v>
      </c>
      <c r="E95" s="76"/>
      <c r="F95" s="76"/>
      <c r="G95" s="76"/>
      <c r="H95" s="76"/>
      <c r="I95" s="76"/>
      <c r="J95" s="76"/>
      <c r="K95" s="76" t="s">
        <v>370</v>
      </c>
      <c r="L95" s="76" t="s">
        <v>120</v>
      </c>
      <c r="M95" s="76" t="s">
        <v>3</v>
      </c>
      <c r="N95" s="107">
        <v>303444194</v>
      </c>
      <c r="O95" s="49">
        <v>303444194</v>
      </c>
      <c r="P95" s="122">
        <v>0</v>
      </c>
      <c r="Q95" s="49"/>
      <c r="R95" s="49"/>
      <c r="S95" s="64">
        <f>O95-Q95</f>
        <v>303444194</v>
      </c>
      <c r="T95" s="86" t="s">
        <v>82</v>
      </c>
      <c r="U95" s="12"/>
    </row>
    <row r="96" spans="1:21" s="13" customFormat="1" ht="47.25" customHeight="1" outlineLevel="1" x14ac:dyDescent="0.25">
      <c r="A96" s="27">
        <v>61</v>
      </c>
      <c r="B96" s="59" t="s">
        <v>194</v>
      </c>
      <c r="C96" s="59" t="s">
        <v>195</v>
      </c>
      <c r="D96" s="59" t="s">
        <v>196</v>
      </c>
      <c r="E96" s="59" t="s">
        <v>57</v>
      </c>
      <c r="F96" s="59"/>
      <c r="G96" s="59"/>
      <c r="H96" s="59"/>
      <c r="I96" s="59"/>
      <c r="J96" s="59"/>
      <c r="K96" s="108" t="s">
        <v>371</v>
      </c>
      <c r="L96" s="59" t="s">
        <v>197</v>
      </c>
      <c r="M96" s="59" t="s">
        <v>57</v>
      </c>
      <c r="N96" s="49">
        <v>10000000</v>
      </c>
      <c r="O96" s="49">
        <v>10000000</v>
      </c>
      <c r="P96" s="60" t="s">
        <v>198</v>
      </c>
      <c r="Q96" s="49">
        <v>2553676.86</v>
      </c>
      <c r="R96" s="49">
        <f>3533579.15874841+18816925/512.41+16022937.4/426.85+37537.63+37130+36723+37538</f>
        <v>3756767.8188604596</v>
      </c>
      <c r="S96" s="55">
        <f t="shared" si="6"/>
        <v>7446323.1400000006</v>
      </c>
      <c r="T96" s="58" t="s">
        <v>199</v>
      </c>
      <c r="U96" s="12"/>
    </row>
    <row r="97" spans="1:22" s="13" customFormat="1" ht="51" customHeight="1" outlineLevel="1" thickBot="1" x14ac:dyDescent="0.3">
      <c r="A97" s="27">
        <v>62</v>
      </c>
      <c r="B97" s="59" t="s">
        <v>194</v>
      </c>
      <c r="C97" s="59" t="s">
        <v>139</v>
      </c>
      <c r="D97" s="59" t="s">
        <v>196</v>
      </c>
      <c r="E97" s="59"/>
      <c r="F97" s="59"/>
      <c r="G97" s="59"/>
      <c r="H97" s="59"/>
      <c r="I97" s="59"/>
      <c r="J97" s="59"/>
      <c r="K97" s="108" t="s">
        <v>372</v>
      </c>
      <c r="L97" s="59" t="s">
        <v>200</v>
      </c>
      <c r="M97" s="59" t="s">
        <v>3</v>
      </c>
      <c r="N97" s="49">
        <v>8000000000</v>
      </c>
      <c r="O97" s="49">
        <v>8000000000</v>
      </c>
      <c r="P97" s="60" t="s">
        <v>201</v>
      </c>
      <c r="Q97" s="49"/>
      <c r="R97" s="49">
        <f>3496438357+79342466+80657534+79342466+79342466</f>
        <v>3815123289</v>
      </c>
      <c r="S97" s="55">
        <f>O97-Q97</f>
        <v>8000000000</v>
      </c>
      <c r="T97" s="58" t="s">
        <v>202</v>
      </c>
      <c r="U97" s="12"/>
    </row>
    <row r="98" spans="1:22" s="20" customFormat="1" ht="24.75" customHeight="1" x14ac:dyDescent="0.25">
      <c r="A98" s="235" t="s">
        <v>203</v>
      </c>
      <c r="B98" s="236"/>
      <c r="C98" s="236"/>
      <c r="D98" s="239" t="s">
        <v>35</v>
      </c>
      <c r="E98" s="239"/>
      <c r="F98" s="239"/>
      <c r="G98" s="239"/>
      <c r="H98" s="239"/>
      <c r="I98" s="239"/>
      <c r="J98" s="239"/>
      <c r="K98" s="239"/>
      <c r="L98" s="239"/>
      <c r="M98" s="123"/>
      <c r="N98" s="24">
        <f>SUMIF($M$73:$M$97,D98,$N$73:$N$97)</f>
        <v>39533311.359999999</v>
      </c>
      <c r="O98" s="24">
        <f>SUMIF($M$73:$M$97,D98,$O$73:$O$97)</f>
        <v>19990539.530000001</v>
      </c>
      <c r="P98" s="24"/>
      <c r="Q98" s="24">
        <f>SUMIF($M$73:$M$97,D98,$Q$73:$Q$97)</f>
        <v>25454.571703756206</v>
      </c>
      <c r="R98" s="24">
        <f>SUMIF($M$73:$M$97,D98,$R$73:$R$97)</f>
        <v>353941.7998881822</v>
      </c>
      <c r="S98" s="24">
        <f>SUMIF($M$73:$M$97,D98,$S$73:$S$97)</f>
        <v>19965084.958296243</v>
      </c>
      <c r="T98" s="96"/>
      <c r="U98" s="19"/>
    </row>
    <row r="99" spans="1:22" s="20" customFormat="1" ht="39" customHeight="1" x14ac:dyDescent="0.25">
      <c r="A99" s="237"/>
      <c r="B99" s="238"/>
      <c r="C99" s="238"/>
      <c r="D99" s="240" t="s">
        <v>3</v>
      </c>
      <c r="E99" s="240"/>
      <c r="F99" s="240"/>
      <c r="G99" s="240"/>
      <c r="H99" s="240"/>
      <c r="I99" s="240"/>
      <c r="J99" s="240"/>
      <c r="K99" s="240"/>
      <c r="L99" s="240"/>
      <c r="M99" s="97"/>
      <c r="N99" s="22">
        <f>SUMIF($M$73:$M$97,D99,$N$73:$N$97)</f>
        <v>16940988508.200001</v>
      </c>
      <c r="O99" s="22">
        <f>SUMIF($M$73:$M$97,D99,$O$73:$O$97)</f>
        <v>17041113555.5</v>
      </c>
      <c r="P99" s="22"/>
      <c r="Q99" s="22">
        <f>SUMIF($M$73:$M$97,D99,$Q$73:$Q$97)</f>
        <v>3542407760.9000001</v>
      </c>
      <c r="R99" s="22">
        <f>SUMIF($M$73:$M$97,D99,$R$73:$R$97)</f>
        <v>3926232275.4000001</v>
      </c>
      <c r="S99" s="22">
        <f>SUMIF($M$73:$M$97,D99,$S$73:$S$97)</f>
        <v>13498705794.6</v>
      </c>
      <c r="T99" s="98"/>
      <c r="U99" s="19"/>
    </row>
    <row r="100" spans="1:22" s="20" customFormat="1" ht="39" customHeight="1" x14ac:dyDescent="0.25">
      <c r="A100" s="237"/>
      <c r="B100" s="238"/>
      <c r="C100" s="238"/>
      <c r="D100" s="240" t="s">
        <v>57</v>
      </c>
      <c r="E100" s="240"/>
      <c r="F100" s="240"/>
      <c r="G100" s="240"/>
      <c r="H100" s="240"/>
      <c r="I100" s="240"/>
      <c r="J100" s="240"/>
      <c r="K100" s="240"/>
      <c r="L100" s="240"/>
      <c r="M100" s="97"/>
      <c r="N100" s="22">
        <f>SUMIF($M$73:$M$97,D100,$N$73:$N$97)</f>
        <v>32967799.48</v>
      </c>
      <c r="O100" s="22">
        <f>SUMIF($M$73:$M$97,D100,$O$73:$O$97)</f>
        <v>29744398.170000002</v>
      </c>
      <c r="P100" s="22"/>
      <c r="Q100" s="22">
        <f>SUMIF($M$73:$M$97,D100,$Q$73:$Q$97)</f>
        <v>8696193.3772333208</v>
      </c>
      <c r="R100" s="22">
        <f>SUMIF($M$73:$M$97,D100,$R$73:$R$97)</f>
        <v>5198088.3157473467</v>
      </c>
      <c r="S100" s="22">
        <f>SUMIF($M$73:$M$97,D100,$S$73:$S$97)</f>
        <v>21534835.246540692</v>
      </c>
      <c r="T100" s="98"/>
      <c r="U100" s="19"/>
    </row>
    <row r="101" spans="1:22" s="20" customFormat="1" ht="39" customHeight="1" thickBot="1" x14ac:dyDescent="0.3">
      <c r="A101" s="249"/>
      <c r="B101" s="250"/>
      <c r="C101" s="250"/>
      <c r="D101" s="251" t="s">
        <v>77</v>
      </c>
      <c r="E101" s="251"/>
      <c r="F101" s="251"/>
      <c r="G101" s="251"/>
      <c r="H101" s="251"/>
      <c r="I101" s="251"/>
      <c r="J101" s="251"/>
      <c r="K101" s="251"/>
      <c r="L101" s="251"/>
      <c r="M101" s="102"/>
      <c r="N101" s="23">
        <f>SUMIF($M$73:$M$97,D101,$N$73:$N$97)</f>
        <v>0</v>
      </c>
      <c r="O101" s="23">
        <f>SUMIF($M$73:$M$97,D101,$O$73:$O$97)</f>
        <v>0</v>
      </c>
      <c r="P101" s="23"/>
      <c r="Q101" s="23">
        <f>SUMIF($M$73:$M$97,D101,$Q$73:$Q$97)</f>
        <v>0</v>
      </c>
      <c r="R101" s="23">
        <f>SUMIF($M$73:$M$97,D101,$R$73:$R$97)</f>
        <v>0</v>
      </c>
      <c r="S101" s="23">
        <f>SUMIF($M$73:$M$97,D101,$S$73:$S$97)</f>
        <v>0</v>
      </c>
      <c r="T101" s="103"/>
      <c r="U101" s="19"/>
    </row>
    <row r="102" spans="1:22" s="15" customFormat="1" ht="156.75" customHeight="1" outlineLevel="1" x14ac:dyDescent="0.2">
      <c r="A102" s="27">
        <v>63</v>
      </c>
      <c r="B102" s="76" t="s">
        <v>0</v>
      </c>
      <c r="C102" s="76" t="s">
        <v>1</v>
      </c>
      <c r="D102" s="76"/>
      <c r="E102" s="62"/>
      <c r="F102" s="62"/>
      <c r="G102" s="62"/>
      <c r="H102" s="62"/>
      <c r="I102" s="62"/>
      <c r="J102" s="62"/>
      <c r="K102" s="81" t="s">
        <v>373</v>
      </c>
      <c r="L102" s="81" t="s">
        <v>204</v>
      </c>
      <c r="M102" s="59" t="s">
        <v>3</v>
      </c>
      <c r="N102" s="121">
        <f>3047000000+3000000000</f>
        <v>6047000000</v>
      </c>
      <c r="O102" s="69">
        <v>6000000000</v>
      </c>
      <c r="P102" s="122"/>
      <c r="Q102" s="69">
        <f>4439902959+260956717.5+995441267.7+73262192.2+103703140+88648827.6+23704487.9</f>
        <v>5985619591.8999996</v>
      </c>
      <c r="R102" s="69"/>
      <c r="S102" s="107">
        <f>O102-Q102</f>
        <v>14380408.100000381</v>
      </c>
      <c r="T102" s="124" t="s">
        <v>82</v>
      </c>
      <c r="U102" s="14"/>
    </row>
    <row r="103" spans="1:22" s="15" customFormat="1" ht="135" outlineLevel="1" x14ac:dyDescent="0.2">
      <c r="A103" s="27">
        <v>64</v>
      </c>
      <c r="B103" s="76" t="s">
        <v>4</v>
      </c>
      <c r="C103" s="76" t="s">
        <v>5</v>
      </c>
      <c r="D103" s="76"/>
      <c r="E103" s="62"/>
      <c r="F103" s="62"/>
      <c r="G103" s="62"/>
      <c r="H103" s="62"/>
      <c r="I103" s="62"/>
      <c r="J103" s="62"/>
      <c r="K103" s="81"/>
      <c r="L103" s="81" t="s">
        <v>389</v>
      </c>
      <c r="M103" s="59" t="s">
        <v>3</v>
      </c>
      <c r="N103" s="49">
        <f>2000000000+7300000000</f>
        <v>9300000000</v>
      </c>
      <c r="O103" s="69">
        <f>9024295000</f>
        <v>9024295000</v>
      </c>
      <c r="P103" s="122" t="s">
        <v>205</v>
      </c>
      <c r="Q103" s="107">
        <f>140537000+5009140+4849511288.30001+293553946.6+277518975.4+298090130.9+261563425.9+273040297.9+246795505.7+231942835.5+200000+276040115.2+210499563.5+221320560.6+300000+193123482.7+199186343.7+185073611.4+184150969.4+170369357.1+151027787.7+90490766.8</f>
        <v>8759345104.3000069</v>
      </c>
      <c r="R103" s="107">
        <f>34040214.6+16030636.8+1797857.1+7375602.5+3983531.1+11814600.3+22459610.6+9668538.8+11671711.4+6908264.6+1329981.6</f>
        <v>127080549.39999999</v>
      </c>
      <c r="S103" s="107">
        <f>O103-Q103</f>
        <v>264949895.69999313</v>
      </c>
      <c r="T103" s="124" t="s">
        <v>82</v>
      </c>
      <c r="U103" s="14"/>
    </row>
    <row r="104" spans="1:22" s="15" customFormat="1" ht="175.5" outlineLevel="1" x14ac:dyDescent="0.2">
      <c r="A104" s="27">
        <v>65</v>
      </c>
      <c r="B104" s="76" t="s">
        <v>4</v>
      </c>
      <c r="C104" s="76" t="s">
        <v>7</v>
      </c>
      <c r="D104" s="76"/>
      <c r="E104" s="62"/>
      <c r="F104" s="62"/>
      <c r="G104" s="62"/>
      <c r="H104" s="62"/>
      <c r="I104" s="62"/>
      <c r="J104" s="62"/>
      <c r="K104" s="81" t="s">
        <v>374</v>
      </c>
      <c r="L104" s="81" t="s">
        <v>8</v>
      </c>
      <c r="M104" s="59" t="s">
        <v>3</v>
      </c>
      <c r="N104" s="49">
        <v>562500000</v>
      </c>
      <c r="O104" s="69">
        <v>562500000</v>
      </c>
      <c r="P104" s="122"/>
      <c r="Q104" s="69"/>
      <c r="R104" s="69"/>
      <c r="S104" s="64">
        <f t="shared" ref="S104:S124" si="7">O104-Q104</f>
        <v>562500000</v>
      </c>
      <c r="T104" s="124" t="s">
        <v>82</v>
      </c>
      <c r="U104" s="14"/>
    </row>
    <row r="105" spans="1:22" s="15" customFormat="1" ht="147" customHeight="1" outlineLevel="1" x14ac:dyDescent="0.2">
      <c r="A105" s="27">
        <v>66</v>
      </c>
      <c r="B105" s="202" t="s">
        <v>0</v>
      </c>
      <c r="C105" s="202" t="s">
        <v>9</v>
      </c>
      <c r="D105" s="76"/>
      <c r="E105" s="62"/>
      <c r="F105" s="62"/>
      <c r="G105" s="62"/>
      <c r="H105" s="62"/>
      <c r="I105" s="62"/>
      <c r="J105" s="62"/>
      <c r="K105" s="81" t="s">
        <v>10</v>
      </c>
      <c r="L105" s="81" t="s">
        <v>11</v>
      </c>
      <c r="M105" s="59" t="s">
        <v>3</v>
      </c>
      <c r="N105" s="49">
        <v>2000000000</v>
      </c>
      <c r="O105" s="69">
        <v>2000000000</v>
      </c>
      <c r="P105" s="67">
        <v>2.7E-2</v>
      </c>
      <c r="Q105" s="69"/>
      <c r="R105" s="55">
        <f>68417269.8+13462993.2+49643.9+1421840.5+38566246.5+491534.9+1119195.4</f>
        <v>123528724.20000002</v>
      </c>
      <c r="S105" s="55">
        <f t="shared" si="7"/>
        <v>2000000000</v>
      </c>
      <c r="T105" s="124" t="s">
        <v>82</v>
      </c>
      <c r="U105" s="14"/>
    </row>
    <row r="106" spans="1:22" s="15" customFormat="1" ht="144.75" customHeight="1" outlineLevel="1" x14ac:dyDescent="0.2">
      <c r="A106" s="27">
        <v>67</v>
      </c>
      <c r="B106" s="212"/>
      <c r="C106" s="212"/>
      <c r="D106" s="62"/>
      <c r="E106" s="62"/>
      <c r="F106" s="62"/>
      <c r="G106" s="62"/>
      <c r="H106" s="62"/>
      <c r="I106" s="62"/>
      <c r="J106" s="62"/>
      <c r="K106" s="81" t="s">
        <v>12</v>
      </c>
      <c r="L106" s="81" t="s">
        <v>13</v>
      </c>
      <c r="M106" s="87" t="s">
        <v>3</v>
      </c>
      <c r="N106" s="49">
        <v>2000000000</v>
      </c>
      <c r="O106" s="69">
        <v>2000000000</v>
      </c>
      <c r="P106" s="125">
        <v>5.7000000000000002E-2</v>
      </c>
      <c r="Q106" s="69"/>
      <c r="R106" s="69">
        <f>153819379.6+28421448.8+780809.1+528470.5+2614769.3</f>
        <v>186164877.30000001</v>
      </c>
      <c r="S106" s="55">
        <f t="shared" si="7"/>
        <v>2000000000</v>
      </c>
      <c r="T106" s="124" t="s">
        <v>82</v>
      </c>
      <c r="U106" s="14"/>
    </row>
    <row r="107" spans="1:22" s="15" customFormat="1" ht="90.75" customHeight="1" outlineLevel="1" thickBot="1" x14ac:dyDescent="0.25">
      <c r="A107" s="126">
        <v>68</v>
      </c>
      <c r="B107" s="264"/>
      <c r="C107" s="264"/>
      <c r="D107" s="127"/>
      <c r="E107" s="128"/>
      <c r="F107" s="128"/>
      <c r="G107" s="128"/>
      <c r="H107" s="128"/>
      <c r="I107" s="128"/>
      <c r="J107" s="128"/>
      <c r="K107" s="81" t="s">
        <v>390</v>
      </c>
      <c r="L107" s="129" t="s">
        <v>206</v>
      </c>
      <c r="M107" s="130" t="s">
        <v>3</v>
      </c>
      <c r="N107" s="131">
        <v>5000000000</v>
      </c>
      <c r="O107" s="132">
        <v>5000000000</v>
      </c>
      <c r="P107" s="133">
        <v>2.7E-2</v>
      </c>
      <c r="Q107" s="132"/>
      <c r="R107" s="132">
        <f>34209157.5+76580313.4+83507353.3</f>
        <v>194296824.19999999</v>
      </c>
      <c r="S107" s="134">
        <f t="shared" si="7"/>
        <v>5000000000</v>
      </c>
      <c r="T107" s="124" t="s">
        <v>82</v>
      </c>
      <c r="U107" s="14"/>
    </row>
    <row r="108" spans="1:22" s="20" customFormat="1" ht="30" customHeight="1" x14ac:dyDescent="0.25">
      <c r="A108" s="256" t="s">
        <v>207</v>
      </c>
      <c r="B108" s="257"/>
      <c r="C108" s="257"/>
      <c r="D108" s="258" t="s">
        <v>35</v>
      </c>
      <c r="E108" s="259"/>
      <c r="F108" s="259"/>
      <c r="G108" s="259"/>
      <c r="H108" s="259"/>
      <c r="I108" s="259"/>
      <c r="J108" s="259"/>
      <c r="K108" s="259"/>
      <c r="L108" s="260"/>
      <c r="M108" s="90"/>
      <c r="N108" s="25">
        <f>SUMIF($M$102:$M$107,D108,$N$102:$N$107)</f>
        <v>0</v>
      </c>
      <c r="O108" s="25">
        <f>SUMIF($M$102:$M$107,D108,$O$102:$O$107)</f>
        <v>0</v>
      </c>
      <c r="P108" s="25"/>
      <c r="Q108" s="25">
        <f>SUMIF($M$102:$M$107,D108,$Q$102:$Q$107)</f>
        <v>0</v>
      </c>
      <c r="R108" s="25">
        <f>SUMIF($M$102:$M$107,D108,$R$102:$R$107)</f>
        <v>0</v>
      </c>
      <c r="S108" s="25">
        <f>SUMIF($M$102:$M$107,D108,$S$102:$S$107)</f>
        <v>0</v>
      </c>
      <c r="T108" s="96"/>
      <c r="U108" s="14"/>
      <c r="V108" s="15"/>
    </row>
    <row r="109" spans="1:22" s="20" customFormat="1" ht="27" customHeight="1" x14ac:dyDescent="0.25">
      <c r="A109" s="237"/>
      <c r="B109" s="238"/>
      <c r="C109" s="238"/>
      <c r="D109" s="261" t="s">
        <v>3</v>
      </c>
      <c r="E109" s="262"/>
      <c r="F109" s="262"/>
      <c r="G109" s="262"/>
      <c r="H109" s="262"/>
      <c r="I109" s="262"/>
      <c r="J109" s="262"/>
      <c r="K109" s="262"/>
      <c r="L109" s="263"/>
      <c r="M109" s="97"/>
      <c r="N109" s="25">
        <f>SUMIF($M$102:$M$107,D109,$N$102:$N$107)</f>
        <v>24909500000</v>
      </c>
      <c r="O109" s="22">
        <f>SUMIF($M$102:$M$107,D109,$O$102:$O$107)</f>
        <v>24586795000</v>
      </c>
      <c r="P109" s="22"/>
      <c r="Q109" s="22">
        <f>SUMIF($M$102:$M$107,D109,$Q$102:$Q$107)</f>
        <v>14744964696.200006</v>
      </c>
      <c r="R109" s="22">
        <f>SUMIF($M$102:$M$107,D109,$R$102:$R$107)</f>
        <v>631070975.10000002</v>
      </c>
      <c r="S109" s="22">
        <f>SUMIF($M$102:$M$107,D109,$S$102:$S$107)</f>
        <v>9841830303.7999935</v>
      </c>
      <c r="T109" s="98"/>
      <c r="U109" s="14"/>
      <c r="V109" s="15"/>
    </row>
    <row r="110" spans="1:22" s="20" customFormat="1" ht="28.5" customHeight="1" x14ac:dyDescent="0.25">
      <c r="A110" s="237"/>
      <c r="B110" s="238"/>
      <c r="C110" s="238"/>
      <c r="D110" s="261" t="s">
        <v>57</v>
      </c>
      <c r="E110" s="262"/>
      <c r="F110" s="262"/>
      <c r="G110" s="262"/>
      <c r="H110" s="262"/>
      <c r="I110" s="262"/>
      <c r="J110" s="262"/>
      <c r="K110" s="262"/>
      <c r="L110" s="263"/>
      <c r="M110" s="97"/>
      <c r="N110" s="25">
        <f>SUMIF($M$102:$M$107,D110,$N$102:$N$107)</f>
        <v>0</v>
      </c>
      <c r="O110" s="22">
        <f>SUMIF($M$102:$M$107,D110,$O$102:$O$107)</f>
        <v>0</v>
      </c>
      <c r="P110" s="22"/>
      <c r="Q110" s="22">
        <f>SUMIF($M$102:$M$107,D110,$Q$102:$Q$107)</f>
        <v>0</v>
      </c>
      <c r="R110" s="22">
        <f>SUMIF($M$102:$M$107,D110,$R$102:$R$107)</f>
        <v>0</v>
      </c>
      <c r="S110" s="22">
        <f>SUMIF($M$102:$M$107,D110,$S$102:$S$107)</f>
        <v>0</v>
      </c>
      <c r="T110" s="98"/>
      <c r="U110" s="19"/>
    </row>
    <row r="111" spans="1:22" s="20" customFormat="1" ht="30" customHeight="1" thickBot="1" x14ac:dyDescent="0.3">
      <c r="A111" s="249"/>
      <c r="B111" s="250"/>
      <c r="C111" s="250"/>
      <c r="D111" s="242" t="s">
        <v>77</v>
      </c>
      <c r="E111" s="243"/>
      <c r="F111" s="243"/>
      <c r="G111" s="243"/>
      <c r="H111" s="243"/>
      <c r="I111" s="243"/>
      <c r="J111" s="243"/>
      <c r="K111" s="243"/>
      <c r="L111" s="244"/>
      <c r="M111" s="102"/>
      <c r="N111" s="23">
        <f>SUMIF($M$102:$M$107,D111,$N$102:$N$107)</f>
        <v>0</v>
      </c>
      <c r="O111" s="23">
        <f>SUMIF($M$102:$M$107,D111,$O$102:$O$107)</f>
        <v>0</v>
      </c>
      <c r="P111" s="23"/>
      <c r="Q111" s="23">
        <f>SUMIF($M$102:$M$107,D111,$Q$102:$Q$107)</f>
        <v>0</v>
      </c>
      <c r="R111" s="23">
        <f>SUMIF($M$102:$M$107,D111,$R$102:$R$107)</f>
        <v>0</v>
      </c>
      <c r="S111" s="23">
        <f>SUMIF($M$102:$M$107,D111,$S$102:$S$107)</f>
        <v>0</v>
      </c>
      <c r="T111" s="103"/>
      <c r="U111" s="19"/>
    </row>
    <row r="112" spans="1:22" s="15" customFormat="1" ht="121.5" outlineLevel="1" x14ac:dyDescent="0.2">
      <c r="A112" s="104">
        <v>69</v>
      </c>
      <c r="B112" s="135" t="s">
        <v>208</v>
      </c>
      <c r="C112" s="135" t="s">
        <v>209</v>
      </c>
      <c r="D112" s="76"/>
      <c r="E112" s="62"/>
      <c r="F112" s="62"/>
      <c r="G112" s="62"/>
      <c r="H112" s="62"/>
      <c r="I112" s="62"/>
      <c r="J112" s="62"/>
      <c r="K112" s="81" t="s">
        <v>375</v>
      </c>
      <c r="L112" s="81" t="s">
        <v>210</v>
      </c>
      <c r="M112" s="59" t="s">
        <v>3</v>
      </c>
      <c r="N112" s="136">
        <v>574491741</v>
      </c>
      <c r="O112" s="136">
        <v>574491741</v>
      </c>
      <c r="P112" s="137">
        <v>1E-4</v>
      </c>
      <c r="Q112" s="136">
        <f>132575017.2</f>
        <v>132575017.2</v>
      </c>
      <c r="R112" s="136">
        <f>85623+14165+39966.7</f>
        <v>139754.70000000001</v>
      </c>
      <c r="S112" s="85">
        <f t="shared" si="7"/>
        <v>441916723.80000001</v>
      </c>
      <c r="T112" s="138" t="s">
        <v>211</v>
      </c>
      <c r="U112" s="14"/>
    </row>
    <row r="113" spans="1:21" s="15" customFormat="1" ht="121.5" outlineLevel="1" x14ac:dyDescent="0.2">
      <c r="A113" s="27">
        <v>70</v>
      </c>
      <c r="B113" s="113" t="s">
        <v>212</v>
      </c>
      <c r="C113" s="113" t="s">
        <v>209</v>
      </c>
      <c r="D113" s="76"/>
      <c r="E113" s="62"/>
      <c r="F113" s="62"/>
      <c r="G113" s="62"/>
      <c r="H113" s="62"/>
      <c r="I113" s="62"/>
      <c r="J113" s="62"/>
      <c r="K113" s="81" t="s">
        <v>376</v>
      </c>
      <c r="L113" s="81" t="s">
        <v>213</v>
      </c>
      <c r="M113" s="59" t="s">
        <v>3</v>
      </c>
      <c r="N113" s="121">
        <v>98612371</v>
      </c>
      <c r="O113" s="111">
        <v>98612371</v>
      </c>
      <c r="P113" s="77">
        <v>1E-4</v>
      </c>
      <c r="Q113" s="111"/>
      <c r="R113" s="111">
        <v>17060</v>
      </c>
      <c r="S113" s="64">
        <f t="shared" si="7"/>
        <v>98612371</v>
      </c>
      <c r="T113" s="124" t="s">
        <v>214</v>
      </c>
      <c r="U113" s="14"/>
    </row>
    <row r="114" spans="1:21" s="15" customFormat="1" ht="121.5" outlineLevel="1" x14ac:dyDescent="0.2">
      <c r="A114" s="27">
        <v>71</v>
      </c>
      <c r="B114" s="113" t="s">
        <v>215</v>
      </c>
      <c r="C114" s="113" t="s">
        <v>209</v>
      </c>
      <c r="D114" s="76"/>
      <c r="E114" s="62"/>
      <c r="F114" s="62"/>
      <c r="G114" s="62"/>
      <c r="H114" s="62"/>
      <c r="I114" s="62"/>
      <c r="J114" s="62"/>
      <c r="K114" s="81" t="s">
        <v>377</v>
      </c>
      <c r="L114" s="81" t="s">
        <v>216</v>
      </c>
      <c r="M114" s="59" t="s">
        <v>3</v>
      </c>
      <c r="N114" s="121">
        <v>60132468</v>
      </c>
      <c r="O114" s="111">
        <v>60132468</v>
      </c>
      <c r="P114" s="77">
        <v>1E-4</v>
      </c>
      <c r="Q114" s="111">
        <f>4625574.5+4625574.5+4625574.5+4625574.5+4625575</f>
        <v>23127873</v>
      </c>
      <c r="R114" s="111">
        <f>10367+1511.2+1400+1500+1500</f>
        <v>16278.2</v>
      </c>
      <c r="S114" s="64">
        <f t="shared" si="7"/>
        <v>37004595</v>
      </c>
      <c r="T114" s="124" t="s">
        <v>217</v>
      </c>
      <c r="U114" s="26"/>
    </row>
    <row r="115" spans="1:21" s="15" customFormat="1" ht="121.5" outlineLevel="1" x14ac:dyDescent="0.2">
      <c r="A115" s="27">
        <v>72</v>
      </c>
      <c r="B115" s="113" t="s">
        <v>218</v>
      </c>
      <c r="C115" s="113" t="s">
        <v>209</v>
      </c>
      <c r="D115" s="76"/>
      <c r="E115" s="62"/>
      <c r="F115" s="62"/>
      <c r="G115" s="62"/>
      <c r="H115" s="62"/>
      <c r="I115" s="62"/>
      <c r="J115" s="62"/>
      <c r="K115" s="81" t="s">
        <v>378</v>
      </c>
      <c r="L115" s="81" t="s">
        <v>219</v>
      </c>
      <c r="M115" s="59" t="s">
        <v>3</v>
      </c>
      <c r="N115" s="49">
        <f>9500000+12453199</f>
        <v>21953199</v>
      </c>
      <c r="O115" s="111">
        <f>9500000+12453199</f>
        <v>21953199</v>
      </c>
      <c r="P115" s="77">
        <v>1E-4</v>
      </c>
      <c r="Q115" s="111"/>
      <c r="R115" s="111">
        <v>3720</v>
      </c>
      <c r="S115" s="64">
        <f t="shared" si="7"/>
        <v>21953199</v>
      </c>
      <c r="T115" s="124" t="s">
        <v>220</v>
      </c>
      <c r="U115" s="26"/>
    </row>
    <row r="116" spans="1:21" s="15" customFormat="1" ht="129.75" customHeight="1" outlineLevel="1" x14ac:dyDescent="0.2">
      <c r="A116" s="27">
        <v>73</v>
      </c>
      <c r="B116" s="113" t="s">
        <v>221</v>
      </c>
      <c r="C116" s="113" t="s">
        <v>209</v>
      </c>
      <c r="D116" s="76"/>
      <c r="E116" s="62"/>
      <c r="F116" s="62"/>
      <c r="G116" s="62"/>
      <c r="H116" s="62"/>
      <c r="I116" s="62"/>
      <c r="J116" s="62"/>
      <c r="K116" s="81" t="s">
        <v>378</v>
      </c>
      <c r="L116" s="81" t="s">
        <v>222</v>
      </c>
      <c r="M116" s="59" t="s">
        <v>3</v>
      </c>
      <c r="N116" s="121">
        <v>15801400</v>
      </c>
      <c r="O116" s="111">
        <v>15801400</v>
      </c>
      <c r="P116" s="77">
        <v>1E-4</v>
      </c>
      <c r="Q116" s="111"/>
      <c r="R116" s="111">
        <v>3500</v>
      </c>
      <c r="S116" s="64">
        <f t="shared" si="7"/>
        <v>15801400</v>
      </c>
      <c r="T116" s="124" t="s">
        <v>223</v>
      </c>
      <c r="U116" s="26"/>
    </row>
    <row r="117" spans="1:21" s="15" customFormat="1" ht="129.75" customHeight="1" outlineLevel="1" x14ac:dyDescent="0.2">
      <c r="A117" s="27">
        <v>74</v>
      </c>
      <c r="B117" s="113" t="s">
        <v>224</v>
      </c>
      <c r="C117" s="113" t="s">
        <v>209</v>
      </c>
      <c r="D117" s="76"/>
      <c r="E117" s="62"/>
      <c r="F117" s="62"/>
      <c r="G117" s="62"/>
      <c r="H117" s="62"/>
      <c r="I117" s="62"/>
      <c r="J117" s="62"/>
      <c r="K117" s="81" t="s">
        <v>378</v>
      </c>
      <c r="L117" s="81" t="s">
        <v>222</v>
      </c>
      <c r="M117" s="59" t="s">
        <v>3</v>
      </c>
      <c r="N117" s="121">
        <v>2554000</v>
      </c>
      <c r="O117" s="111">
        <v>2554000</v>
      </c>
      <c r="P117" s="77">
        <v>1E-4</v>
      </c>
      <c r="Q117" s="111"/>
      <c r="R117" s="111">
        <f>500</f>
        <v>500</v>
      </c>
      <c r="S117" s="64">
        <f t="shared" si="7"/>
        <v>2554000</v>
      </c>
      <c r="T117" s="124" t="s">
        <v>225</v>
      </c>
      <c r="U117" s="26"/>
    </row>
    <row r="118" spans="1:21" s="15" customFormat="1" ht="129.75" customHeight="1" outlineLevel="1" x14ac:dyDescent="0.2">
      <c r="A118" s="27">
        <v>75</v>
      </c>
      <c r="B118" s="113" t="s">
        <v>226</v>
      </c>
      <c r="C118" s="113" t="s">
        <v>209</v>
      </c>
      <c r="D118" s="76"/>
      <c r="E118" s="62"/>
      <c r="F118" s="62"/>
      <c r="G118" s="62"/>
      <c r="H118" s="62"/>
      <c r="I118" s="62"/>
      <c r="J118" s="62"/>
      <c r="K118" s="81" t="s">
        <v>378</v>
      </c>
      <c r="L118" s="81" t="s">
        <v>227</v>
      </c>
      <c r="M118" s="59" t="s">
        <v>3</v>
      </c>
      <c r="N118" s="121">
        <v>29053320</v>
      </c>
      <c r="O118" s="111">
        <v>29053320</v>
      </c>
      <c r="P118" s="77">
        <v>1E-4</v>
      </c>
      <c r="Q118" s="111"/>
      <c r="R118" s="111">
        <f>2000+3000</f>
        <v>5000</v>
      </c>
      <c r="S118" s="64">
        <f t="shared" si="7"/>
        <v>29053320</v>
      </c>
      <c r="T118" s="124" t="s">
        <v>228</v>
      </c>
      <c r="U118" s="26"/>
    </row>
    <row r="119" spans="1:21" s="15" customFormat="1" ht="129.75" customHeight="1" outlineLevel="1" x14ac:dyDescent="0.2">
      <c r="A119" s="27">
        <v>76</v>
      </c>
      <c r="B119" s="113" t="s">
        <v>229</v>
      </c>
      <c r="C119" s="113" t="s">
        <v>209</v>
      </c>
      <c r="D119" s="76"/>
      <c r="E119" s="62"/>
      <c r="F119" s="62"/>
      <c r="G119" s="62"/>
      <c r="H119" s="62"/>
      <c r="I119" s="62"/>
      <c r="J119" s="62"/>
      <c r="K119" s="81" t="s">
        <v>378</v>
      </c>
      <c r="L119" s="81" t="s">
        <v>230</v>
      </c>
      <c r="M119" s="59" t="s">
        <v>3</v>
      </c>
      <c r="N119" s="121">
        <v>192064443</v>
      </c>
      <c r="O119" s="111">
        <f>95000000+97064443</f>
        <v>192064443</v>
      </c>
      <c r="P119" s="77">
        <v>1E-4</v>
      </c>
      <c r="Q119" s="111">
        <f>65000000+20000000</f>
        <v>85000000</v>
      </c>
      <c r="R119" s="111">
        <f>16100+12200+23933</f>
        <v>52233</v>
      </c>
      <c r="S119" s="64">
        <f t="shared" si="7"/>
        <v>107064443</v>
      </c>
      <c r="T119" s="124" t="s">
        <v>231</v>
      </c>
      <c r="U119" s="26"/>
    </row>
    <row r="120" spans="1:21" s="15" customFormat="1" ht="129.75" customHeight="1" outlineLevel="1" x14ac:dyDescent="0.2">
      <c r="A120" s="27">
        <v>77</v>
      </c>
      <c r="B120" s="113" t="s">
        <v>233</v>
      </c>
      <c r="C120" s="113" t="s">
        <v>209</v>
      </c>
      <c r="D120" s="76"/>
      <c r="E120" s="62"/>
      <c r="F120" s="62"/>
      <c r="G120" s="62"/>
      <c r="H120" s="62"/>
      <c r="I120" s="62"/>
      <c r="J120" s="62"/>
      <c r="K120" s="81" t="s">
        <v>378</v>
      </c>
      <c r="L120" s="81" t="s">
        <v>232</v>
      </c>
      <c r="M120" s="59" t="s">
        <v>3</v>
      </c>
      <c r="N120" s="121">
        <v>3469534</v>
      </c>
      <c r="O120" s="111">
        <v>3469534</v>
      </c>
      <c r="P120" s="77">
        <v>1E-4</v>
      </c>
      <c r="Q120" s="111">
        <v>266887</v>
      </c>
      <c r="R120" s="111">
        <f>600+86</f>
        <v>686</v>
      </c>
      <c r="S120" s="64">
        <f t="shared" si="7"/>
        <v>3202647</v>
      </c>
      <c r="T120" s="124" t="s">
        <v>234</v>
      </c>
      <c r="U120" s="26"/>
    </row>
    <row r="121" spans="1:21" s="15" customFormat="1" ht="129.75" customHeight="1" outlineLevel="1" x14ac:dyDescent="0.2">
      <c r="A121" s="27">
        <v>78</v>
      </c>
      <c r="B121" s="113" t="s">
        <v>235</v>
      </c>
      <c r="C121" s="113" t="s">
        <v>209</v>
      </c>
      <c r="D121" s="76"/>
      <c r="E121" s="62"/>
      <c r="F121" s="62"/>
      <c r="G121" s="62"/>
      <c r="H121" s="62"/>
      <c r="I121" s="62"/>
      <c r="J121" s="62"/>
      <c r="K121" s="81" t="s">
        <v>378</v>
      </c>
      <c r="L121" s="81" t="s">
        <v>236</v>
      </c>
      <c r="M121" s="59" t="s">
        <v>3</v>
      </c>
      <c r="N121" s="121">
        <v>11781702</v>
      </c>
      <c r="O121" s="111">
        <v>11781702</v>
      </c>
      <c r="P121" s="77">
        <v>1E-4</v>
      </c>
      <c r="Q121" s="111">
        <f>906285+906285+906285+906285+906285</f>
        <v>4531425</v>
      </c>
      <c r="R121" s="111">
        <f>3000+1500+1500</f>
        <v>6000</v>
      </c>
      <c r="S121" s="64">
        <f t="shared" si="7"/>
        <v>7250277</v>
      </c>
      <c r="T121" s="124" t="s">
        <v>237</v>
      </c>
      <c r="U121" s="26"/>
    </row>
    <row r="122" spans="1:21" s="15" customFormat="1" ht="129.75" customHeight="1" outlineLevel="1" x14ac:dyDescent="0.2">
      <c r="A122" s="27">
        <v>79</v>
      </c>
      <c r="B122" s="113" t="s">
        <v>238</v>
      </c>
      <c r="C122" s="113" t="s">
        <v>209</v>
      </c>
      <c r="D122" s="76"/>
      <c r="E122" s="62"/>
      <c r="F122" s="62"/>
      <c r="G122" s="62"/>
      <c r="H122" s="62"/>
      <c r="I122" s="62"/>
      <c r="J122" s="62"/>
      <c r="K122" s="81" t="s">
        <v>378</v>
      </c>
      <c r="L122" s="81" t="s">
        <v>239</v>
      </c>
      <c r="M122" s="59" t="s">
        <v>3</v>
      </c>
      <c r="N122" s="121">
        <f>112000000+16200000</f>
        <v>128200000</v>
      </c>
      <c r="O122" s="111">
        <f>112000000+16200000</f>
        <v>128200000</v>
      </c>
      <c r="P122" s="77">
        <v>1E-4</v>
      </c>
      <c r="Q122" s="111">
        <f>3000000+3000000</f>
        <v>6000000</v>
      </c>
      <c r="R122" s="111">
        <f>25640+12820</f>
        <v>38460</v>
      </c>
      <c r="S122" s="64">
        <f t="shared" si="7"/>
        <v>122200000</v>
      </c>
      <c r="T122" s="124" t="s">
        <v>240</v>
      </c>
      <c r="U122" s="26"/>
    </row>
    <row r="123" spans="1:21" s="15" customFormat="1" ht="129.75" customHeight="1" outlineLevel="1" x14ac:dyDescent="0.2">
      <c r="A123" s="27">
        <v>80</v>
      </c>
      <c r="B123" s="113" t="s">
        <v>241</v>
      </c>
      <c r="C123" s="113" t="s">
        <v>209</v>
      </c>
      <c r="D123" s="76"/>
      <c r="E123" s="62"/>
      <c r="F123" s="62"/>
      <c r="G123" s="62"/>
      <c r="H123" s="62"/>
      <c r="I123" s="62"/>
      <c r="J123" s="62"/>
      <c r="K123" s="81" t="s">
        <v>378</v>
      </c>
      <c r="L123" s="81" t="s">
        <v>242</v>
      </c>
      <c r="M123" s="59" t="s">
        <v>3</v>
      </c>
      <c r="N123" s="121">
        <v>26127500</v>
      </c>
      <c r="O123" s="111">
        <v>26127500</v>
      </c>
      <c r="P123" s="77">
        <v>1E-4</v>
      </c>
      <c r="Q123" s="111"/>
      <c r="R123" s="111">
        <f>4530</f>
        <v>4530</v>
      </c>
      <c r="S123" s="64">
        <f t="shared" si="7"/>
        <v>26127500</v>
      </c>
      <c r="T123" s="124" t="s">
        <v>243</v>
      </c>
      <c r="U123" s="26"/>
    </row>
    <row r="124" spans="1:21" s="15" customFormat="1" ht="129.75" customHeight="1" outlineLevel="1" x14ac:dyDescent="0.2">
      <c r="A124" s="27">
        <v>81</v>
      </c>
      <c r="B124" s="113" t="s">
        <v>244</v>
      </c>
      <c r="C124" s="113" t="s">
        <v>209</v>
      </c>
      <c r="D124" s="76"/>
      <c r="E124" s="62"/>
      <c r="F124" s="62"/>
      <c r="G124" s="62"/>
      <c r="H124" s="62"/>
      <c r="I124" s="62"/>
      <c r="J124" s="62"/>
      <c r="K124" s="81" t="s">
        <v>378</v>
      </c>
      <c r="L124" s="81" t="s">
        <v>245</v>
      </c>
      <c r="M124" s="59" t="s">
        <v>3</v>
      </c>
      <c r="N124" s="121">
        <v>19297200</v>
      </c>
      <c r="O124" s="111">
        <f>10800000+3440000+1440000+3617200</f>
        <v>19297200</v>
      </c>
      <c r="P124" s="77">
        <v>1E-4</v>
      </c>
      <c r="Q124" s="111"/>
      <c r="R124" s="111">
        <f>3000</f>
        <v>3000</v>
      </c>
      <c r="S124" s="64">
        <f t="shared" si="7"/>
        <v>19297200</v>
      </c>
      <c r="T124" s="124" t="s">
        <v>246</v>
      </c>
      <c r="U124" s="26"/>
    </row>
    <row r="125" spans="1:21" s="15" customFormat="1" ht="129.75" customHeight="1" outlineLevel="1" x14ac:dyDescent="0.2">
      <c r="A125" s="27">
        <v>82</v>
      </c>
      <c r="B125" s="113" t="s">
        <v>247</v>
      </c>
      <c r="C125" s="113" t="s">
        <v>209</v>
      </c>
      <c r="D125" s="76"/>
      <c r="E125" s="62"/>
      <c r="F125" s="62"/>
      <c r="G125" s="62"/>
      <c r="H125" s="62"/>
      <c r="I125" s="62"/>
      <c r="J125" s="62"/>
      <c r="K125" s="81" t="s">
        <v>378</v>
      </c>
      <c r="L125" s="81" t="s">
        <v>232</v>
      </c>
      <c r="M125" s="59" t="s">
        <v>3</v>
      </c>
      <c r="N125" s="121">
        <v>2164000</v>
      </c>
      <c r="O125" s="111">
        <v>2164000</v>
      </c>
      <c r="P125" s="77">
        <v>1E-4</v>
      </c>
      <c r="Q125" s="111">
        <f>166462+166462+165000+167000+166500</f>
        <v>831424</v>
      </c>
      <c r="R125" s="111">
        <f>370+54.8+100+100</f>
        <v>624.79999999999995</v>
      </c>
      <c r="S125" s="64">
        <f>O125-R125</f>
        <v>2163375.2000000002</v>
      </c>
      <c r="T125" s="124" t="s">
        <v>248</v>
      </c>
      <c r="U125" s="26"/>
    </row>
    <row r="126" spans="1:21" s="15" customFormat="1" ht="129.75" customHeight="1" outlineLevel="1" x14ac:dyDescent="0.2">
      <c r="A126" s="27">
        <v>83</v>
      </c>
      <c r="B126" s="113" t="s">
        <v>249</v>
      </c>
      <c r="C126" s="113" t="s">
        <v>209</v>
      </c>
      <c r="D126" s="113"/>
      <c r="E126" s="113"/>
      <c r="F126" s="113"/>
      <c r="G126" s="113"/>
      <c r="H126" s="113"/>
      <c r="I126" s="113"/>
      <c r="J126" s="113"/>
      <c r="K126" s="81" t="s">
        <v>378</v>
      </c>
      <c r="L126" s="81" t="s">
        <v>250</v>
      </c>
      <c r="M126" s="59" t="s">
        <v>3</v>
      </c>
      <c r="N126" s="121">
        <v>253504102</v>
      </c>
      <c r="O126" s="111">
        <v>253504102</v>
      </c>
      <c r="P126" s="77">
        <v>1E-4</v>
      </c>
      <c r="Q126" s="111">
        <f>19500316+19500316+19500315+19500315</f>
        <v>78001262</v>
      </c>
      <c r="R126" s="111">
        <f>5973+6390+6181+6389+6181.4+6390+6390+6390+6389+5407+7015</f>
        <v>69095.399999999994</v>
      </c>
      <c r="S126" s="64">
        <f t="shared" ref="S126:S132" si="8">O126-Q126</f>
        <v>175502840</v>
      </c>
      <c r="T126" s="124" t="s">
        <v>251</v>
      </c>
      <c r="U126" s="26"/>
    </row>
    <row r="127" spans="1:21" s="15" customFormat="1" ht="129.75" customHeight="1" outlineLevel="1" x14ac:dyDescent="0.2">
      <c r="A127" s="27">
        <v>84</v>
      </c>
      <c r="B127" s="113" t="s">
        <v>252</v>
      </c>
      <c r="C127" s="113" t="s">
        <v>209</v>
      </c>
      <c r="D127" s="76"/>
      <c r="E127" s="62"/>
      <c r="F127" s="62"/>
      <c r="G127" s="62"/>
      <c r="H127" s="62"/>
      <c r="I127" s="62"/>
      <c r="J127" s="62"/>
      <c r="K127" s="81" t="s">
        <v>378</v>
      </c>
      <c r="L127" s="81" t="s">
        <v>250</v>
      </c>
      <c r="M127" s="59" t="s">
        <v>3</v>
      </c>
      <c r="N127" s="121">
        <v>76200000</v>
      </c>
      <c r="O127" s="111">
        <v>76200000</v>
      </c>
      <c r="P127" s="77">
        <v>1E-4</v>
      </c>
      <c r="Q127" s="111"/>
      <c r="R127" s="111">
        <v>7620</v>
      </c>
      <c r="S127" s="64">
        <f t="shared" si="8"/>
        <v>76200000</v>
      </c>
      <c r="T127" s="124" t="s">
        <v>253</v>
      </c>
      <c r="U127" s="26"/>
    </row>
    <row r="128" spans="1:21" s="15" customFormat="1" ht="121.5" outlineLevel="1" x14ac:dyDescent="0.2">
      <c r="A128" s="27">
        <v>85</v>
      </c>
      <c r="B128" s="113" t="s">
        <v>254</v>
      </c>
      <c r="C128" s="113" t="s">
        <v>209</v>
      </c>
      <c r="D128" s="76"/>
      <c r="E128" s="62"/>
      <c r="F128" s="62"/>
      <c r="G128" s="62"/>
      <c r="H128" s="62"/>
      <c r="I128" s="62"/>
      <c r="J128" s="62"/>
      <c r="K128" s="81" t="s">
        <v>378</v>
      </c>
      <c r="L128" s="81" t="s">
        <v>255</v>
      </c>
      <c r="M128" s="59" t="s">
        <v>3</v>
      </c>
      <c r="N128" s="121">
        <v>50613970</v>
      </c>
      <c r="O128" s="111">
        <v>50613970</v>
      </c>
      <c r="P128" s="77">
        <v>1E-4</v>
      </c>
      <c r="Q128" s="111"/>
      <c r="R128" s="111">
        <f>8800+8800</f>
        <v>17600</v>
      </c>
      <c r="S128" s="64">
        <f t="shared" si="8"/>
        <v>50613970</v>
      </c>
      <c r="T128" s="124" t="s">
        <v>256</v>
      </c>
      <c r="U128" s="26"/>
    </row>
    <row r="129" spans="1:21" s="15" customFormat="1" ht="121.5" outlineLevel="1" x14ac:dyDescent="0.2">
      <c r="A129" s="27">
        <v>86</v>
      </c>
      <c r="B129" s="113" t="s">
        <v>257</v>
      </c>
      <c r="C129" s="113" t="s">
        <v>209</v>
      </c>
      <c r="D129" s="76"/>
      <c r="E129" s="62"/>
      <c r="F129" s="62"/>
      <c r="G129" s="62"/>
      <c r="H129" s="62"/>
      <c r="I129" s="62"/>
      <c r="J129" s="62"/>
      <c r="K129" s="81" t="s">
        <v>378</v>
      </c>
      <c r="L129" s="81" t="s">
        <v>258</v>
      </c>
      <c r="M129" s="59" t="s">
        <v>3</v>
      </c>
      <c r="N129" s="121">
        <v>184740000</v>
      </c>
      <c r="O129" s="111">
        <v>184740000</v>
      </c>
      <c r="P129" s="77">
        <v>1E-4</v>
      </c>
      <c r="Q129" s="111"/>
      <c r="R129" s="111">
        <f>31700</f>
        <v>31700</v>
      </c>
      <c r="S129" s="64">
        <f t="shared" si="8"/>
        <v>184740000</v>
      </c>
      <c r="T129" s="124" t="s">
        <v>259</v>
      </c>
      <c r="U129" s="26"/>
    </row>
    <row r="130" spans="1:21" s="15" customFormat="1" ht="121.5" outlineLevel="1" x14ac:dyDescent="0.2">
      <c r="A130" s="27">
        <v>87</v>
      </c>
      <c r="B130" s="113" t="s">
        <v>260</v>
      </c>
      <c r="C130" s="113" t="s">
        <v>209</v>
      </c>
      <c r="D130" s="76"/>
      <c r="E130" s="62"/>
      <c r="F130" s="62"/>
      <c r="G130" s="62"/>
      <c r="H130" s="62"/>
      <c r="I130" s="62"/>
      <c r="J130" s="62"/>
      <c r="K130" s="81" t="s">
        <v>378</v>
      </c>
      <c r="L130" s="81" t="s">
        <v>261</v>
      </c>
      <c r="M130" s="59" t="s">
        <v>3</v>
      </c>
      <c r="N130" s="121">
        <v>219559596</v>
      </c>
      <c r="O130" s="111">
        <v>219559596</v>
      </c>
      <c r="P130" s="77">
        <v>1E-4</v>
      </c>
      <c r="Q130" s="111">
        <f>16889200+16889200+185781196</f>
        <v>219559596</v>
      </c>
      <c r="R130" s="111">
        <f>5294+5294+27550+5533+1000</f>
        <v>44671</v>
      </c>
      <c r="S130" s="64">
        <f t="shared" si="8"/>
        <v>0</v>
      </c>
      <c r="T130" s="124" t="s">
        <v>470</v>
      </c>
      <c r="U130" s="26"/>
    </row>
    <row r="131" spans="1:21" s="15" customFormat="1" ht="121.5" outlineLevel="1" x14ac:dyDescent="0.2">
      <c r="A131" s="27">
        <v>88</v>
      </c>
      <c r="B131" s="113" t="s">
        <v>262</v>
      </c>
      <c r="C131" s="113" t="s">
        <v>209</v>
      </c>
      <c r="D131" s="76"/>
      <c r="E131" s="62"/>
      <c r="F131" s="62"/>
      <c r="G131" s="62"/>
      <c r="H131" s="62"/>
      <c r="I131" s="62"/>
      <c r="J131" s="62"/>
      <c r="K131" s="81" t="s">
        <v>378</v>
      </c>
      <c r="L131" s="81" t="s">
        <v>258</v>
      </c>
      <c r="M131" s="59" t="s">
        <v>3</v>
      </c>
      <c r="N131" s="121">
        <v>29081500</v>
      </c>
      <c r="O131" s="111">
        <v>29081500</v>
      </c>
      <c r="P131" s="77">
        <v>1E-4</v>
      </c>
      <c r="Q131" s="111"/>
      <c r="R131" s="111">
        <f>1000+4000+3000</f>
        <v>8000</v>
      </c>
      <c r="S131" s="64">
        <f t="shared" si="8"/>
        <v>29081500</v>
      </c>
      <c r="T131" s="124" t="s">
        <v>263</v>
      </c>
      <c r="U131" s="26"/>
    </row>
    <row r="132" spans="1:21" s="15" customFormat="1" ht="123" customHeight="1" outlineLevel="1" thickBot="1" x14ac:dyDescent="0.25">
      <c r="A132" s="126">
        <v>89</v>
      </c>
      <c r="B132" s="139" t="s">
        <v>264</v>
      </c>
      <c r="C132" s="139" t="s">
        <v>209</v>
      </c>
      <c r="D132" s="140"/>
      <c r="E132" s="141"/>
      <c r="F132" s="141"/>
      <c r="G132" s="141"/>
      <c r="H132" s="141"/>
      <c r="I132" s="141"/>
      <c r="J132" s="141"/>
      <c r="K132" s="129" t="s">
        <v>378</v>
      </c>
      <c r="L132" s="129" t="s">
        <v>265</v>
      </c>
      <c r="M132" s="140" t="s">
        <v>3</v>
      </c>
      <c r="N132" s="142">
        <v>12060940</v>
      </c>
      <c r="O132" s="142">
        <v>12060940</v>
      </c>
      <c r="P132" s="143">
        <v>1E-4</v>
      </c>
      <c r="Q132" s="142"/>
      <c r="R132" s="142">
        <v>2170</v>
      </c>
      <c r="S132" s="134">
        <f t="shared" si="8"/>
        <v>12060940</v>
      </c>
      <c r="T132" s="144" t="s">
        <v>266</v>
      </c>
      <c r="U132" s="26"/>
    </row>
    <row r="133" spans="1:21" s="20" customFormat="1" ht="30" customHeight="1" x14ac:dyDescent="0.25">
      <c r="A133" s="256" t="s">
        <v>469</v>
      </c>
      <c r="B133" s="257"/>
      <c r="C133" s="257"/>
      <c r="D133" s="258" t="s">
        <v>35</v>
      </c>
      <c r="E133" s="259"/>
      <c r="F133" s="259"/>
      <c r="G133" s="259"/>
      <c r="H133" s="259"/>
      <c r="I133" s="259"/>
      <c r="J133" s="259"/>
      <c r="K133" s="259"/>
      <c r="L133" s="260"/>
      <c r="M133" s="90"/>
      <c r="N133" s="100">
        <f>SUMIF($M$112:$M$132,D133,$N$112:$N$132)</f>
        <v>0</v>
      </c>
      <c r="O133" s="25">
        <f>SUMIF($M$102:$M$132,D133,$O$102:$O$132)</f>
        <v>0</v>
      </c>
      <c r="P133" s="25"/>
      <c r="Q133" s="25">
        <f>SUMIF($M$112:$M$132,D133,$Q$112:$Q$132)</f>
        <v>0</v>
      </c>
      <c r="R133" s="25">
        <f>SUMIF($M$102:$M$132,D133,$R$102:$R$132)</f>
        <v>0</v>
      </c>
      <c r="S133" s="25">
        <f>SUMIF($M$102:$M$132,D133,$S$102:$S$132)</f>
        <v>0</v>
      </c>
      <c r="T133" s="145"/>
      <c r="U133" s="19"/>
    </row>
    <row r="134" spans="1:21" s="20" customFormat="1" ht="27" customHeight="1" x14ac:dyDescent="0.25">
      <c r="A134" s="237"/>
      <c r="B134" s="238"/>
      <c r="C134" s="238"/>
      <c r="D134" s="261" t="s">
        <v>3</v>
      </c>
      <c r="E134" s="262"/>
      <c r="F134" s="262"/>
      <c r="G134" s="262"/>
      <c r="H134" s="262"/>
      <c r="I134" s="262"/>
      <c r="J134" s="262"/>
      <c r="K134" s="262"/>
      <c r="L134" s="263"/>
      <c r="M134" s="97"/>
      <c r="N134" s="22">
        <f>SUMIF($M$112:$M$132,D134,$N$112:$N$132)</f>
        <v>2011462986</v>
      </c>
      <c r="O134" s="22">
        <f>SUMIF($M$112:$M$132,D134,$O$112:$O$132)</f>
        <v>2011462986</v>
      </c>
      <c r="P134" s="22"/>
      <c r="Q134" s="22">
        <f>SUMIF($M$112:$M$132,D134,$Q$112:$Q$132)</f>
        <v>549893484.20000005</v>
      </c>
      <c r="R134" s="22">
        <f>SUMIF($M$112:$M$132,D134,$R$112:$R$132)</f>
        <v>472203.1</v>
      </c>
      <c r="S134" s="22">
        <f>SUMIF($M$112:$M$132,D134,$S$112:$S$132)</f>
        <v>1462400301</v>
      </c>
      <c r="T134" s="98"/>
      <c r="U134" s="19"/>
    </row>
    <row r="135" spans="1:21" s="20" customFormat="1" ht="28.5" customHeight="1" x14ac:dyDescent="0.25">
      <c r="A135" s="237"/>
      <c r="B135" s="238"/>
      <c r="C135" s="238"/>
      <c r="D135" s="261" t="s">
        <v>57</v>
      </c>
      <c r="E135" s="262"/>
      <c r="F135" s="262"/>
      <c r="G135" s="262"/>
      <c r="H135" s="262"/>
      <c r="I135" s="262"/>
      <c r="J135" s="262"/>
      <c r="K135" s="262"/>
      <c r="L135" s="263"/>
      <c r="M135" s="97"/>
      <c r="N135" s="22">
        <f>SUMIF($M$112:$M$132,D135,$N$112:$N$132)</f>
        <v>0</v>
      </c>
      <c r="O135" s="22">
        <f>SUMIF($M$102:$M$132,D135,$O$102:$O$132)</f>
        <v>0</v>
      </c>
      <c r="P135" s="22"/>
      <c r="Q135" s="22">
        <f>SUMIF($M$102:$M$132,D135,$Q$102:$Q$132)</f>
        <v>0</v>
      </c>
      <c r="R135" s="22">
        <f>SUMIF($M$102:$M$132,D135,$R$102:$R$132)</f>
        <v>0</v>
      </c>
      <c r="S135" s="22">
        <f>SUMIF($M$102:$M$132,D135,$S$102:$S$132)</f>
        <v>0</v>
      </c>
      <c r="T135" s="98"/>
      <c r="U135" s="19"/>
    </row>
    <row r="136" spans="1:21" s="20" customFormat="1" ht="30" customHeight="1" thickBot="1" x14ac:dyDescent="0.3">
      <c r="A136" s="266"/>
      <c r="B136" s="267"/>
      <c r="C136" s="267"/>
      <c r="D136" s="242" t="s">
        <v>77</v>
      </c>
      <c r="E136" s="243"/>
      <c r="F136" s="243"/>
      <c r="G136" s="243"/>
      <c r="H136" s="243"/>
      <c r="I136" s="243"/>
      <c r="J136" s="243"/>
      <c r="K136" s="243"/>
      <c r="L136" s="244"/>
      <c r="M136" s="102"/>
      <c r="N136" s="23">
        <f>SUMIF($M$112:$M$132,D136,$N$112:$N$132)</f>
        <v>0</v>
      </c>
      <c r="O136" s="23">
        <f>SUMIF($M$102:$M$132,D136,$O$102:$O$132)</f>
        <v>0</v>
      </c>
      <c r="P136" s="23"/>
      <c r="Q136" s="23">
        <f>SUMIF($M$102:$M$132,D136,$Q$102:$Q$132)</f>
        <v>0</v>
      </c>
      <c r="R136" s="23">
        <f>SUMIF($M$102:$M$132,D136,$R$102:$R$132)</f>
        <v>0</v>
      </c>
      <c r="S136" s="23">
        <f>SUMIF($M$102:$M$132,D136,$S$102:$S$132)</f>
        <v>0</v>
      </c>
      <c r="T136" s="103"/>
      <c r="U136" s="19"/>
    </row>
    <row r="137" spans="1:21" s="20" customFormat="1" ht="15.75" customHeight="1" x14ac:dyDescent="0.25">
      <c r="A137" s="235" t="s">
        <v>267</v>
      </c>
      <c r="B137" s="236"/>
      <c r="C137" s="268"/>
      <c r="D137" s="260" t="s">
        <v>35</v>
      </c>
      <c r="E137" s="271"/>
      <c r="F137" s="271"/>
      <c r="G137" s="271"/>
      <c r="H137" s="271"/>
      <c r="I137" s="271"/>
      <c r="J137" s="271"/>
      <c r="K137" s="271"/>
      <c r="L137" s="271"/>
      <c r="M137" s="146"/>
      <c r="N137" s="25">
        <f t="shared" ref="N137:S140" si="9">N47+N58+N69+N98+N108+N133</f>
        <v>338789053.64000005</v>
      </c>
      <c r="O137" s="25">
        <f t="shared" si="9"/>
        <v>139419595.06999999</v>
      </c>
      <c r="P137" s="25">
        <f t="shared" si="9"/>
        <v>0</v>
      </c>
      <c r="Q137" s="25">
        <f t="shared" si="9"/>
        <v>46922206.239586227</v>
      </c>
      <c r="R137" s="25">
        <f t="shared" si="9"/>
        <v>17790727.040888667</v>
      </c>
      <c r="S137" s="25">
        <f t="shared" si="9"/>
        <v>92497388.830413759</v>
      </c>
      <c r="T137" s="145"/>
      <c r="U137" s="19"/>
    </row>
    <row r="138" spans="1:21" s="20" customFormat="1" ht="17.25" customHeight="1" x14ac:dyDescent="0.25">
      <c r="A138" s="237"/>
      <c r="B138" s="238"/>
      <c r="C138" s="269"/>
      <c r="D138" s="263" t="s">
        <v>3</v>
      </c>
      <c r="E138" s="240"/>
      <c r="F138" s="240"/>
      <c r="G138" s="240"/>
      <c r="H138" s="240"/>
      <c r="I138" s="240"/>
      <c r="J138" s="240"/>
      <c r="K138" s="240"/>
      <c r="L138" s="240"/>
      <c r="M138" s="146"/>
      <c r="N138" s="25">
        <f t="shared" si="9"/>
        <v>174882887740.10001</v>
      </c>
      <c r="O138" s="25">
        <f t="shared" si="9"/>
        <v>193494618029.51001</v>
      </c>
      <c r="P138" s="25">
        <f t="shared" si="9"/>
        <v>0</v>
      </c>
      <c r="Q138" s="25">
        <f t="shared" si="9"/>
        <v>94769692359.044724</v>
      </c>
      <c r="R138" s="25">
        <f t="shared" si="9"/>
        <v>45508461316.182976</v>
      </c>
      <c r="S138" s="25">
        <f t="shared" si="9"/>
        <v>98725756469.665283</v>
      </c>
      <c r="T138" s="98"/>
      <c r="U138" s="19"/>
    </row>
    <row r="139" spans="1:21" s="20" customFormat="1" ht="15" customHeight="1" x14ac:dyDescent="0.25">
      <c r="A139" s="237"/>
      <c r="B139" s="238"/>
      <c r="C139" s="269"/>
      <c r="D139" s="263" t="s">
        <v>57</v>
      </c>
      <c r="E139" s="240"/>
      <c r="F139" s="240"/>
      <c r="G139" s="240"/>
      <c r="H139" s="240"/>
      <c r="I139" s="240"/>
      <c r="J139" s="240"/>
      <c r="K139" s="240"/>
      <c r="L139" s="240"/>
      <c r="M139" s="97"/>
      <c r="N139" s="25">
        <f t="shared" si="9"/>
        <v>481140620.32000005</v>
      </c>
      <c r="O139" s="25">
        <f t="shared" si="9"/>
        <v>356940040.69</v>
      </c>
      <c r="P139" s="25">
        <f t="shared" si="9"/>
        <v>0</v>
      </c>
      <c r="Q139" s="25">
        <f t="shared" si="9"/>
        <v>104743164.46077845</v>
      </c>
      <c r="R139" s="25">
        <f t="shared" si="9"/>
        <v>55407382.905678451</v>
      </c>
      <c r="S139" s="25">
        <f t="shared" si="9"/>
        <v>252683506.68299556</v>
      </c>
      <c r="T139" s="98"/>
      <c r="U139" s="19"/>
    </row>
    <row r="140" spans="1:21" s="20" customFormat="1" ht="25.5" customHeight="1" x14ac:dyDescent="0.25">
      <c r="A140" s="266"/>
      <c r="B140" s="267"/>
      <c r="C140" s="270"/>
      <c r="D140" s="272" t="s">
        <v>77</v>
      </c>
      <c r="E140" s="241"/>
      <c r="F140" s="241"/>
      <c r="G140" s="241"/>
      <c r="H140" s="241"/>
      <c r="I140" s="241"/>
      <c r="J140" s="241"/>
      <c r="K140" s="241"/>
      <c r="L140" s="241"/>
      <c r="M140" s="99"/>
      <c r="N140" s="25">
        <f t="shared" si="9"/>
        <v>31777311969</v>
      </c>
      <c r="O140" s="25">
        <f t="shared" si="9"/>
        <v>31859249643</v>
      </c>
      <c r="P140" s="25">
        <f t="shared" si="9"/>
        <v>0</v>
      </c>
      <c r="Q140" s="25">
        <f t="shared" si="9"/>
        <v>11038487466.404823</v>
      </c>
      <c r="R140" s="25">
        <f t="shared" si="9"/>
        <v>3402828724.9202366</v>
      </c>
      <c r="S140" s="25">
        <f t="shared" si="9"/>
        <v>20820762176.595181</v>
      </c>
      <c r="T140" s="101"/>
      <c r="U140" s="19"/>
    </row>
    <row r="141" spans="1:21" s="20" customFormat="1" ht="15" customHeight="1" thickBot="1" x14ac:dyDescent="0.3">
      <c r="A141" s="266"/>
      <c r="B141" s="267"/>
      <c r="C141" s="270"/>
      <c r="D141" s="265" t="s">
        <v>67</v>
      </c>
      <c r="E141" s="262"/>
      <c r="F141" s="262"/>
      <c r="G141" s="262"/>
      <c r="H141" s="262"/>
      <c r="I141" s="262"/>
      <c r="J141" s="262"/>
      <c r="K141" s="262"/>
      <c r="L141" s="263"/>
      <c r="M141" s="99"/>
      <c r="N141" s="25">
        <f>N51</f>
        <v>24086688</v>
      </c>
      <c r="O141" s="25">
        <f t="shared" ref="O141:S141" si="10">O51</f>
        <v>18384172.012149811</v>
      </c>
      <c r="P141" s="25">
        <f t="shared" si="10"/>
        <v>0</v>
      </c>
      <c r="Q141" s="25">
        <f t="shared" si="10"/>
        <v>3421726.801663748</v>
      </c>
      <c r="R141" s="25">
        <f t="shared" si="10"/>
        <v>2452783.2591014383</v>
      </c>
      <c r="S141" s="25">
        <f t="shared" si="10"/>
        <v>14962445.210486062</v>
      </c>
      <c r="T141" s="101"/>
      <c r="U141" s="19"/>
    </row>
    <row r="142" spans="1:21" ht="51" customHeight="1" thickBot="1" x14ac:dyDescent="0.3">
      <c r="A142" s="147">
        <v>94</v>
      </c>
      <c r="B142" s="148" t="s">
        <v>268</v>
      </c>
      <c r="C142" s="149" t="s">
        <v>269</v>
      </c>
      <c r="D142" s="149" t="s">
        <v>119</v>
      </c>
      <c r="E142" s="149"/>
      <c r="F142" s="149"/>
      <c r="G142" s="149"/>
      <c r="H142" s="149"/>
      <c r="I142" s="149"/>
      <c r="J142" s="149"/>
      <c r="K142" s="149" t="s">
        <v>379</v>
      </c>
      <c r="L142" s="149" t="s">
        <v>270</v>
      </c>
      <c r="M142" s="149" t="s">
        <v>3</v>
      </c>
      <c r="N142" s="150">
        <f>834800635300+144000000000+32000000000+132000000000+3500000000+14000000000+2900000000</f>
        <v>1163200635300</v>
      </c>
      <c r="O142" s="151">
        <f>834798635300+12095027500+14732486250+11774486250+13492000000+25492000000+15482000000+12375860000+12000000000+13000000000+12000000000+15700000000+17856140000+15664000000+17000000000+14500000000+15500000000+26000000000+14900000000+11999274664</f>
        <v>1126361909964</v>
      </c>
      <c r="P142" s="152">
        <v>1.0000000000000001E-5</v>
      </c>
      <c r="Q142" s="151"/>
      <c r="R142" s="151"/>
      <c r="S142" s="153">
        <f>O142-Q142</f>
        <v>1126361909964</v>
      </c>
      <c r="T142" s="154" t="s">
        <v>82</v>
      </c>
    </row>
    <row r="143" spans="1:21" s="20" customFormat="1" ht="15" customHeight="1" x14ac:dyDescent="0.25">
      <c r="A143" s="155"/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7"/>
      <c r="N143" s="28"/>
      <c r="O143" s="28"/>
      <c r="P143" s="28"/>
      <c r="Q143" s="28"/>
      <c r="R143" s="28"/>
      <c r="S143" s="28"/>
      <c r="T143" s="28"/>
      <c r="U143" s="19"/>
    </row>
    <row r="144" spans="1:21" ht="17.25" x14ac:dyDescent="0.3">
      <c r="B144" s="158" t="s">
        <v>3</v>
      </c>
      <c r="C144" s="159"/>
      <c r="M144" s="161"/>
      <c r="N144" s="29"/>
      <c r="O144" s="29"/>
      <c r="S144" s="163"/>
      <c r="T144" s="31"/>
    </row>
    <row r="145" spans="2:21" ht="17.25" x14ac:dyDescent="0.3">
      <c r="B145" s="158" t="s">
        <v>57</v>
      </c>
      <c r="C145" s="159">
        <v>386.22</v>
      </c>
      <c r="N145" s="29"/>
      <c r="O145" s="30"/>
      <c r="P145" s="164"/>
      <c r="R145" s="29"/>
      <c r="S145" s="165"/>
      <c r="T145" s="166"/>
    </row>
    <row r="146" spans="2:21" ht="17.25" x14ac:dyDescent="0.3">
      <c r="B146" s="158" t="s">
        <v>77</v>
      </c>
      <c r="C146" s="167">
        <v>2.7730000000000001</v>
      </c>
      <c r="O146" s="29"/>
      <c r="R146" s="29"/>
      <c r="S146" s="32"/>
      <c r="T146" s="168"/>
    </row>
    <row r="147" spans="2:21" ht="17.25" x14ac:dyDescent="0.3">
      <c r="B147" s="158" t="s">
        <v>35</v>
      </c>
      <c r="C147" s="159">
        <v>424.57</v>
      </c>
      <c r="O147" s="30"/>
      <c r="R147" s="29"/>
      <c r="S147" s="30"/>
      <c r="T147" s="168"/>
    </row>
    <row r="148" spans="2:21" ht="17.25" x14ac:dyDescent="0.3">
      <c r="B148" s="158" t="s">
        <v>67</v>
      </c>
      <c r="C148" s="159">
        <v>520.97</v>
      </c>
      <c r="R148" s="31"/>
      <c r="S148" s="29"/>
      <c r="T148" s="16"/>
    </row>
    <row r="149" spans="2:21" x14ac:dyDescent="0.25">
      <c r="T149" s="16"/>
    </row>
    <row r="150" spans="2:21" x14ac:dyDescent="0.25">
      <c r="S150" s="32"/>
    </row>
    <row r="151" spans="2:21" x14ac:dyDescent="0.25">
      <c r="O151" s="32"/>
      <c r="R151" s="29"/>
      <c r="S151" s="32"/>
    </row>
    <row r="157" spans="2:21" x14ac:dyDescent="0.25">
      <c r="S157" s="29"/>
    </row>
    <row r="158" spans="2:21" s="30" customFormat="1" x14ac:dyDescent="0.25">
      <c r="B158" s="33"/>
      <c r="C158" s="17"/>
      <c r="D158" s="17"/>
      <c r="E158" s="17"/>
      <c r="F158" s="17"/>
      <c r="G158" s="17"/>
      <c r="H158" s="17"/>
      <c r="I158" s="17"/>
      <c r="J158" s="17"/>
      <c r="K158" s="160"/>
      <c r="L158" s="17"/>
      <c r="M158" s="17"/>
      <c r="N158" s="17"/>
      <c r="O158" s="17"/>
      <c r="P158" s="162"/>
      <c r="Q158" s="17"/>
      <c r="R158" s="17"/>
      <c r="S158" s="29"/>
      <c r="T158" s="17"/>
      <c r="U158" s="16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O74:T77 A65:T68 O80:S92 A80:N92 A74:N77 T80:T92" name="Maria"/>
    <protectedRange algorithmName="SHA-512" hashValue="R0m7mG/o0t2+7dbQTzM5iQkFX2amgAS+iAGJudQnnweh07e6LDAbSuhvcwbzcp7drP+HIG4d/wHfMCXiBXmkow==" saltValue="hXh6Ce3lteSj/cvmR3BSBw==" spinCount="100000" sqref="T142 A112:R132 A142:R142 T112:T132" name="Narine"/>
    <protectedRange algorithmName="SHA-512" hashValue="/qDn2zoAPl6XveVGTDHZcWIjR6P6fmKMYiOIx92BVGuoQ3TYOXlsDsoiDSLs1D9Ugjb3A3EixLJ11cGk8PSHvw==" saltValue="LV/JN9wntl8CkZ3QpoEkqA==" spinCount="100000" sqref="T96:T97 A62:R63 A96:R97 T62:T63" name="Nara"/>
    <protectedRange algorithmName="SHA-512" hashValue="2hnhy85Hze6pXZTujHMyiGA7lE9yapdzAMEgpTAQUbEvX5wkbgVJAYj8efzABUddHb+HHBXm+QO7FFQ7DdcL0Q==" saltValue="/3Se5MhqYIbXZuII16lL6A==" spinCount="100000" sqref="A73:T73 A102:N107 O102:T107" name="Range4"/>
  </protectedRanges>
  <mergeCells count="192"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B53:B54"/>
    <mergeCell ref="T53:T54"/>
    <mergeCell ref="A56:A57"/>
    <mergeCell ref="B56:B57"/>
    <mergeCell ref="C56:C57"/>
    <mergeCell ref="T56:T57"/>
    <mergeCell ref="T43:T44"/>
    <mergeCell ref="P45:P46"/>
    <mergeCell ref="A47:C51"/>
    <mergeCell ref="D47:L47"/>
    <mergeCell ref="D48:L48"/>
    <mergeCell ref="D49:L49"/>
    <mergeCell ref="D50:L50"/>
    <mergeCell ref="D51:L51"/>
    <mergeCell ref="A43:A44"/>
    <mergeCell ref="B43:B44"/>
    <mergeCell ref="C43:C44"/>
    <mergeCell ref="K43:K44"/>
    <mergeCell ref="L43:L44"/>
    <mergeCell ref="P43:P44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46">
    <cfRule type="cellIs" dxfId="1" priority="2" operator="notEqual">
      <formula>#REF!</formula>
    </cfRule>
  </conditionalFormatting>
  <conditionalFormatting sqref="O79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E6" sqref="E6"/>
    </sheetView>
  </sheetViews>
  <sheetFormatPr defaultColWidth="25.85546875" defaultRowHeight="15.75" x14ac:dyDescent="0.25"/>
  <cols>
    <col min="1" max="1" width="33.42578125" style="282" customWidth="1"/>
    <col min="2" max="2" width="32.28515625" style="282" customWidth="1"/>
    <col min="3" max="3" width="35.85546875" style="282" customWidth="1"/>
    <col min="4" max="4" width="32.42578125" style="282" customWidth="1"/>
    <col min="5" max="5" width="28.85546875" style="282" customWidth="1"/>
    <col min="6" max="6" width="33.5703125" style="282" customWidth="1"/>
    <col min="7" max="7" width="44.7109375" style="282" customWidth="1"/>
    <col min="8" max="16384" width="25.85546875" style="282"/>
  </cols>
  <sheetData>
    <row r="1" spans="1:9" ht="18.75" x14ac:dyDescent="0.25">
      <c r="A1" s="281" t="s">
        <v>277</v>
      </c>
      <c r="B1" s="281"/>
      <c r="C1" s="281"/>
      <c r="D1" s="281"/>
      <c r="E1" s="281"/>
    </row>
    <row r="2" spans="1:9" ht="61.5" customHeight="1" x14ac:dyDescent="0.25">
      <c r="A2" s="281" t="s">
        <v>472</v>
      </c>
      <c r="B2" s="281"/>
      <c r="C2" s="281"/>
      <c r="D2" s="281"/>
      <c r="E2" s="281"/>
    </row>
    <row r="5" spans="1:9" ht="60.75" x14ac:dyDescent="0.25">
      <c r="A5" s="283" t="s">
        <v>278</v>
      </c>
      <c r="B5" s="283" t="s">
        <v>279</v>
      </c>
      <c r="C5" s="283" t="s">
        <v>280</v>
      </c>
      <c r="D5" s="283" t="s">
        <v>281</v>
      </c>
      <c r="E5" s="283" t="s">
        <v>299</v>
      </c>
    </row>
    <row r="6" spans="1:9" ht="60.75" x14ac:dyDescent="0.25">
      <c r="A6" s="283" t="s">
        <v>391</v>
      </c>
      <c r="B6" s="283" t="s">
        <v>283</v>
      </c>
      <c r="C6" s="283" t="s">
        <v>284</v>
      </c>
      <c r="D6" s="284">
        <v>2000000000</v>
      </c>
      <c r="E6" s="284">
        <v>1000000100</v>
      </c>
      <c r="H6" s="285"/>
      <c r="I6" s="285"/>
    </row>
    <row r="7" spans="1:9" ht="40.5" x14ac:dyDescent="0.25">
      <c r="A7" s="283" t="s">
        <v>408</v>
      </c>
      <c r="B7" s="283" t="s">
        <v>282</v>
      </c>
      <c r="C7" s="283" t="s">
        <v>286</v>
      </c>
      <c r="D7" s="284">
        <v>825000000</v>
      </c>
      <c r="E7" s="284">
        <v>206250000</v>
      </c>
      <c r="H7" s="285"/>
      <c r="I7" s="285"/>
    </row>
    <row r="8" spans="1:9" ht="40.5" x14ac:dyDescent="0.25">
      <c r="A8" s="283" t="s">
        <v>454</v>
      </c>
      <c r="B8" s="283" t="s">
        <v>282</v>
      </c>
      <c r="C8" s="283" t="s">
        <v>287</v>
      </c>
      <c r="D8" s="284">
        <v>265000000</v>
      </c>
      <c r="E8" s="284">
        <v>176666666.40000001</v>
      </c>
      <c r="H8" s="285"/>
      <c r="I8" s="285"/>
    </row>
    <row r="9" spans="1:9" ht="101.25" x14ac:dyDescent="0.25">
      <c r="A9" s="283" t="s">
        <v>293</v>
      </c>
      <c r="B9" s="283" t="s">
        <v>294</v>
      </c>
      <c r="C9" s="283" t="s">
        <v>295</v>
      </c>
      <c r="D9" s="286">
        <v>103500000</v>
      </c>
      <c r="E9" s="284">
        <v>11599741</v>
      </c>
      <c r="H9" s="285"/>
      <c r="I9" s="285"/>
    </row>
    <row r="10" spans="1:9" ht="101.25" x14ac:dyDescent="0.25">
      <c r="A10" s="283" t="s">
        <v>424</v>
      </c>
      <c r="B10" s="283" t="s">
        <v>294</v>
      </c>
      <c r="C10" s="283" t="s">
        <v>296</v>
      </c>
      <c r="D10" s="286">
        <v>100000000</v>
      </c>
      <c r="E10" s="284">
        <v>11089312.899999999</v>
      </c>
      <c r="H10" s="285"/>
      <c r="I10" s="285"/>
    </row>
    <row r="11" spans="1:9" ht="101.25" x14ac:dyDescent="0.25">
      <c r="A11" s="287" t="s">
        <v>452</v>
      </c>
      <c r="B11" s="283" t="s">
        <v>294</v>
      </c>
      <c r="C11" s="283" t="s">
        <v>297</v>
      </c>
      <c r="D11" s="286">
        <v>253500000</v>
      </c>
      <c r="E11" s="284">
        <v>28028998</v>
      </c>
      <c r="H11" s="285"/>
      <c r="I11" s="285"/>
    </row>
    <row r="12" spans="1:9" ht="40.5" x14ac:dyDescent="0.25">
      <c r="A12" s="287" t="s">
        <v>452</v>
      </c>
      <c r="B12" s="283" t="s">
        <v>282</v>
      </c>
      <c r="C12" s="283" t="s">
        <v>297</v>
      </c>
      <c r="D12" s="286">
        <v>430182000</v>
      </c>
      <c r="E12" s="284">
        <v>143393528</v>
      </c>
      <c r="H12" s="285"/>
      <c r="I12" s="285"/>
    </row>
    <row r="13" spans="1:9" ht="60.75" x14ac:dyDescent="0.25">
      <c r="A13" s="283" t="s">
        <v>415</v>
      </c>
      <c r="B13" s="283" t="s">
        <v>282</v>
      </c>
      <c r="C13" s="283" t="s">
        <v>298</v>
      </c>
      <c r="D13" s="286">
        <v>127200000</v>
      </c>
      <c r="E13" s="284">
        <v>52999387.5</v>
      </c>
      <c r="H13" s="285"/>
      <c r="I13" s="285"/>
    </row>
    <row r="14" spans="1:9" ht="60.75" x14ac:dyDescent="0.25">
      <c r="A14" s="288" t="s">
        <v>381</v>
      </c>
      <c r="B14" s="283" t="s">
        <v>380</v>
      </c>
      <c r="C14" s="283" t="s">
        <v>382</v>
      </c>
      <c r="D14" s="286">
        <v>500000000</v>
      </c>
      <c r="E14" s="284">
        <v>500000000</v>
      </c>
      <c r="H14" s="285"/>
      <c r="I14" s="285"/>
    </row>
    <row r="15" spans="1:9" ht="60.75" x14ac:dyDescent="0.25">
      <c r="A15" s="288" t="s">
        <v>383</v>
      </c>
      <c r="B15" s="283" t="s">
        <v>282</v>
      </c>
      <c r="C15" s="283" t="s">
        <v>385</v>
      </c>
      <c r="D15" s="286">
        <v>234990000</v>
      </c>
      <c r="E15" s="286">
        <v>101374250</v>
      </c>
      <c r="H15" s="285"/>
      <c r="I15" s="285"/>
    </row>
    <row r="16" spans="1:9" ht="40.5" x14ac:dyDescent="0.25">
      <c r="A16" s="289" t="s">
        <v>394</v>
      </c>
      <c r="B16" s="290" t="s">
        <v>384</v>
      </c>
      <c r="C16" s="283" t="s">
        <v>386</v>
      </c>
      <c r="D16" s="286">
        <v>450000000</v>
      </c>
      <c r="E16" s="286">
        <v>450000000</v>
      </c>
      <c r="H16" s="285"/>
      <c r="I16" s="285"/>
    </row>
    <row r="17" spans="1:9" ht="60.75" x14ac:dyDescent="0.25">
      <c r="A17" s="289" t="s">
        <v>391</v>
      </c>
      <c r="B17" s="283" t="s">
        <v>380</v>
      </c>
      <c r="C17" s="283" t="s">
        <v>397</v>
      </c>
      <c r="D17" s="286">
        <v>1248200000</v>
      </c>
      <c r="E17" s="286">
        <v>1248200000</v>
      </c>
      <c r="H17" s="285"/>
      <c r="I17" s="285"/>
    </row>
    <row r="18" spans="1:9" ht="40.5" x14ac:dyDescent="0.25">
      <c r="A18" s="289" t="s">
        <v>392</v>
      </c>
      <c r="B18" s="283" t="s">
        <v>282</v>
      </c>
      <c r="C18" s="283" t="s">
        <v>398</v>
      </c>
      <c r="D18" s="286">
        <v>139373675</v>
      </c>
      <c r="E18" s="286">
        <v>139373675</v>
      </c>
      <c r="H18" s="285"/>
      <c r="I18" s="285"/>
    </row>
    <row r="19" spans="1:9" ht="33" customHeight="1" x14ac:dyDescent="0.25">
      <c r="A19" s="289" t="s">
        <v>393</v>
      </c>
      <c r="B19" s="283" t="s">
        <v>395</v>
      </c>
      <c r="C19" s="283" t="s">
        <v>397</v>
      </c>
      <c r="D19" s="286">
        <v>900000000</v>
      </c>
      <c r="E19" s="286">
        <v>900000000</v>
      </c>
      <c r="H19" s="285"/>
      <c r="I19" s="285"/>
    </row>
    <row r="20" spans="1:9" ht="40.5" x14ac:dyDescent="0.25">
      <c r="A20" s="289" t="s">
        <v>394</v>
      </c>
      <c r="B20" s="283" t="s">
        <v>396</v>
      </c>
      <c r="C20" s="283" t="s">
        <v>398</v>
      </c>
      <c r="D20" s="286">
        <v>250000000</v>
      </c>
      <c r="E20" s="286">
        <v>250000000</v>
      </c>
      <c r="H20" s="285"/>
      <c r="I20" s="285"/>
    </row>
    <row r="21" spans="1:9" ht="60.75" x14ac:dyDescent="0.25">
      <c r="A21" s="283" t="s">
        <v>415</v>
      </c>
      <c r="B21" s="283" t="s">
        <v>282</v>
      </c>
      <c r="C21" s="283" t="s">
        <v>450</v>
      </c>
      <c r="D21" s="286">
        <v>218138000</v>
      </c>
      <c r="E21" s="286">
        <v>218138000</v>
      </c>
      <c r="H21" s="285"/>
      <c r="I21" s="285"/>
    </row>
    <row r="22" spans="1:9" ht="40.5" x14ac:dyDescent="0.25">
      <c r="A22" s="283" t="s">
        <v>408</v>
      </c>
      <c r="B22" s="283" t="s">
        <v>282</v>
      </c>
      <c r="C22" s="283" t="s">
        <v>451</v>
      </c>
      <c r="D22" s="286">
        <v>692955973</v>
      </c>
      <c r="E22" s="286">
        <v>692955973</v>
      </c>
      <c r="H22" s="285"/>
      <c r="I22" s="285"/>
    </row>
    <row r="23" spans="1:9" ht="40.5" x14ac:dyDescent="0.25">
      <c r="A23" s="289" t="s">
        <v>452</v>
      </c>
      <c r="B23" s="283" t="s">
        <v>282</v>
      </c>
      <c r="C23" s="283" t="s">
        <v>453</v>
      </c>
      <c r="D23" s="286">
        <v>674283500</v>
      </c>
      <c r="E23" s="286">
        <v>674283500</v>
      </c>
      <c r="H23" s="285"/>
      <c r="I23" s="285"/>
    </row>
    <row r="24" spans="1:9" ht="33" customHeight="1" x14ac:dyDescent="0.25">
      <c r="A24" s="291" t="s">
        <v>285</v>
      </c>
      <c r="B24" s="291"/>
      <c r="C24" s="291"/>
      <c r="D24" s="292">
        <f>SUM(D6:D23)</f>
        <v>9412323148</v>
      </c>
      <c r="E24" s="292">
        <f>SUM(E6:E23)</f>
        <v>6804353131.8000002</v>
      </c>
      <c r="F24" s="293"/>
    </row>
    <row r="27" spans="1:9" x14ac:dyDescent="0.25">
      <c r="A27" s="294"/>
      <c r="B27" s="294"/>
      <c r="C27" s="294"/>
      <c r="D27" s="294"/>
      <c r="E27" s="294"/>
      <c r="F27" s="294"/>
      <c r="G27" s="294"/>
      <c r="H27" s="295"/>
      <c r="I27" s="295"/>
    </row>
    <row r="28" spans="1:9" x14ac:dyDescent="0.25">
      <c r="A28" s="294"/>
      <c r="B28" s="294"/>
      <c r="C28" s="294"/>
      <c r="D28" s="294"/>
      <c r="E28" s="294"/>
      <c r="F28" s="294"/>
      <c r="G28" s="294"/>
      <c r="H28" s="295"/>
      <c r="I28" s="295"/>
    </row>
    <row r="29" spans="1:9" x14ac:dyDescent="0.25">
      <c r="A29" s="294"/>
      <c r="B29" s="294"/>
      <c r="C29" s="294"/>
      <c r="D29" s="294"/>
      <c r="E29" s="294"/>
      <c r="F29" s="294"/>
      <c r="G29" s="294"/>
      <c r="H29" s="295"/>
      <c r="I29" s="295"/>
    </row>
    <row r="30" spans="1:9" x14ac:dyDescent="0.25">
      <c r="A30" s="294"/>
      <c r="B30" s="294"/>
      <c r="C30" s="294"/>
      <c r="D30" s="294"/>
      <c r="E30" s="294"/>
      <c r="F30" s="294"/>
      <c r="G30" s="294"/>
      <c r="H30" s="295"/>
      <c r="I30" s="295"/>
    </row>
    <row r="31" spans="1:9" x14ac:dyDescent="0.25">
      <c r="A31" s="294"/>
      <c r="B31" s="294"/>
      <c r="C31" s="294"/>
      <c r="D31" s="294"/>
      <c r="E31" s="294"/>
      <c r="F31" s="294"/>
      <c r="G31" s="294"/>
      <c r="H31" s="295"/>
      <c r="I31" s="295"/>
    </row>
    <row r="32" spans="1:9" x14ac:dyDescent="0.25">
      <c r="A32" s="294"/>
      <c r="B32" s="294"/>
      <c r="C32" s="294"/>
      <c r="D32" s="294"/>
      <c r="E32" s="294"/>
      <c r="F32" s="294"/>
      <c r="G32" s="294"/>
      <c r="H32" s="295"/>
      <c r="I32" s="295"/>
    </row>
    <row r="33" spans="1:9" x14ac:dyDescent="0.25">
      <c r="A33" s="294"/>
      <c r="B33" s="294"/>
      <c r="C33" s="294"/>
      <c r="D33" s="294"/>
      <c r="E33" s="294"/>
      <c r="F33" s="294"/>
      <c r="G33" s="294"/>
      <c r="H33" s="295"/>
      <c r="I33" s="295"/>
    </row>
  </sheetData>
  <mergeCells count="2">
    <mergeCell ref="A2:E2"/>
    <mergeCell ref="A1:E1"/>
  </mergeCells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C1" zoomScaleNormal="100" workbookViewId="0">
      <selection activeCell="G6" sqref="G6:H23"/>
    </sheetView>
  </sheetViews>
  <sheetFormatPr defaultColWidth="9.140625" defaultRowHeight="13.5" x14ac:dyDescent="0.25"/>
  <cols>
    <col min="1" max="1" width="51.42578125" style="169" customWidth="1"/>
    <col min="2" max="2" width="51.5703125" style="169" customWidth="1"/>
    <col min="3" max="3" width="36.42578125" style="169" customWidth="1"/>
    <col min="4" max="4" width="40.28515625" style="169" customWidth="1"/>
    <col min="5" max="5" width="44.85546875" style="169" customWidth="1"/>
    <col min="6" max="6" width="47.140625" style="169" customWidth="1"/>
    <col min="7" max="7" width="30.85546875" style="169" customWidth="1"/>
    <col min="8" max="8" width="34.28515625" style="170" customWidth="1"/>
    <col min="9" max="12" width="12.7109375" style="170" customWidth="1"/>
    <col min="13" max="18" width="9.140625" style="170"/>
    <col min="19" max="16384" width="9.140625" style="169"/>
  </cols>
  <sheetData>
    <row r="1" spans="1:18" ht="9" customHeight="1" x14ac:dyDescent="0.25"/>
    <row r="2" spans="1:18" s="171" customFormat="1" ht="17.25" customHeight="1" x14ac:dyDescent="0.25">
      <c r="A2" s="277" t="s">
        <v>399</v>
      </c>
      <c r="B2" s="277"/>
      <c r="C2" s="278" t="s">
        <v>400</v>
      </c>
      <c r="D2" s="278"/>
      <c r="E2" s="278" t="s">
        <v>401</v>
      </c>
      <c r="F2" s="278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8" customHeight="1" thickBot="1" x14ac:dyDescent="0.3"/>
    <row r="4" spans="1:18" s="176" customFormat="1" ht="22.5" customHeight="1" x14ac:dyDescent="0.25">
      <c r="A4" s="279" t="s">
        <v>402</v>
      </c>
      <c r="B4" s="280"/>
      <c r="C4" s="280" t="s">
        <v>403</v>
      </c>
      <c r="D4" s="280"/>
      <c r="E4" s="280" t="s">
        <v>404</v>
      </c>
      <c r="F4" s="280"/>
      <c r="G4" s="173">
        <f>SUM(G6:G23)</f>
        <v>9412323148</v>
      </c>
      <c r="H4" s="174">
        <f>SUM(H6:H23)</f>
        <v>6804353131.8000002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s="176" customFormat="1" ht="82.5" customHeight="1" x14ac:dyDescent="0.25">
      <c r="A5" s="273" t="s">
        <v>405</v>
      </c>
      <c r="B5" s="274"/>
      <c r="C5" s="274" t="s">
        <v>406</v>
      </c>
      <c r="D5" s="274"/>
      <c r="E5" s="274" t="s">
        <v>407</v>
      </c>
      <c r="F5" s="274"/>
      <c r="G5" s="177" t="s">
        <v>455</v>
      </c>
      <c r="H5" s="178" t="s">
        <v>456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ht="33.75" customHeight="1" x14ac:dyDescent="0.25">
      <c r="A6" s="179" t="s">
        <v>391</v>
      </c>
      <c r="B6" s="180" t="s">
        <v>283</v>
      </c>
      <c r="C6" s="180" t="s">
        <v>427</v>
      </c>
      <c r="D6" s="180" t="s">
        <v>428</v>
      </c>
      <c r="E6" s="180" t="s">
        <v>429</v>
      </c>
      <c r="F6" s="180" t="s">
        <v>430</v>
      </c>
      <c r="G6" s="181">
        <v>2000000000</v>
      </c>
      <c r="H6" s="182">
        <v>1000000100</v>
      </c>
    </row>
    <row r="7" spans="1:18" ht="27.75" customHeight="1" x14ac:dyDescent="0.25">
      <c r="A7" s="179" t="s">
        <v>408</v>
      </c>
      <c r="B7" s="180" t="s">
        <v>282</v>
      </c>
      <c r="C7" s="180" t="s">
        <v>409</v>
      </c>
      <c r="D7" s="180" t="s">
        <v>410</v>
      </c>
      <c r="E7" s="180" t="s">
        <v>411</v>
      </c>
      <c r="F7" s="180" t="s">
        <v>412</v>
      </c>
      <c r="G7" s="181">
        <v>825000000</v>
      </c>
      <c r="H7" s="182">
        <v>206250000</v>
      </c>
    </row>
    <row r="8" spans="1:18" ht="27.75" hidden="1" customHeight="1" x14ac:dyDescent="0.25">
      <c r="A8" s="179" t="s">
        <v>454</v>
      </c>
      <c r="B8" s="180" t="s">
        <v>282</v>
      </c>
      <c r="C8" s="180" t="s">
        <v>413</v>
      </c>
      <c r="D8" s="180" t="s">
        <v>410</v>
      </c>
      <c r="E8" s="180" t="s">
        <v>414</v>
      </c>
      <c r="F8" s="180" t="s">
        <v>412</v>
      </c>
      <c r="G8" s="181">
        <v>265000000</v>
      </c>
      <c r="H8" s="182">
        <v>176666666.40000001</v>
      </c>
    </row>
    <row r="9" spans="1:18" ht="30.75" customHeight="1" x14ac:dyDescent="0.25">
      <c r="A9" s="179" t="s">
        <v>293</v>
      </c>
      <c r="B9" s="180" t="s">
        <v>294</v>
      </c>
      <c r="C9" s="180" t="s">
        <v>420</v>
      </c>
      <c r="D9" s="180" t="s">
        <v>421</v>
      </c>
      <c r="E9" s="180" t="s">
        <v>422</v>
      </c>
      <c r="F9" s="180" t="s">
        <v>423</v>
      </c>
      <c r="G9" s="181">
        <v>103500000</v>
      </c>
      <c r="H9" s="182">
        <v>11599741</v>
      </c>
    </row>
    <row r="10" spans="1:18" ht="36.75" customHeight="1" x14ac:dyDescent="0.25">
      <c r="A10" s="179" t="s">
        <v>424</v>
      </c>
      <c r="B10" s="180" t="s">
        <v>294</v>
      </c>
      <c r="C10" s="180" t="s">
        <v>425</v>
      </c>
      <c r="D10" s="180" t="s">
        <v>421</v>
      </c>
      <c r="E10" s="180" t="s">
        <v>426</v>
      </c>
      <c r="F10" s="180" t="s">
        <v>423</v>
      </c>
      <c r="G10" s="181">
        <v>100000000</v>
      </c>
      <c r="H10" s="182">
        <v>11089312.899999999</v>
      </c>
    </row>
    <row r="11" spans="1:18" ht="30.75" customHeight="1" x14ac:dyDescent="0.25">
      <c r="A11" s="179" t="s">
        <v>452</v>
      </c>
      <c r="B11" s="180" t="s">
        <v>294</v>
      </c>
      <c r="C11" s="180" t="s">
        <v>418</v>
      </c>
      <c r="D11" s="180" t="s">
        <v>421</v>
      </c>
      <c r="E11" s="180" t="s">
        <v>419</v>
      </c>
      <c r="F11" s="180" t="s">
        <v>423</v>
      </c>
      <c r="G11" s="181">
        <v>253500000</v>
      </c>
      <c r="H11" s="182">
        <v>28028998</v>
      </c>
    </row>
    <row r="12" spans="1:18" ht="26.25" customHeight="1" x14ac:dyDescent="0.25">
      <c r="A12" s="179" t="s">
        <v>452</v>
      </c>
      <c r="B12" s="180" t="s">
        <v>282</v>
      </c>
      <c r="C12" s="180" t="s">
        <v>418</v>
      </c>
      <c r="D12" s="180" t="s">
        <v>410</v>
      </c>
      <c r="E12" s="180" t="s">
        <v>419</v>
      </c>
      <c r="F12" s="180" t="s">
        <v>412</v>
      </c>
      <c r="G12" s="181">
        <v>430182000</v>
      </c>
      <c r="H12" s="182">
        <v>143393528</v>
      </c>
    </row>
    <row r="13" spans="1:18" ht="26.25" customHeight="1" x14ac:dyDescent="0.25">
      <c r="A13" s="179" t="s">
        <v>415</v>
      </c>
      <c r="B13" s="180" t="s">
        <v>282</v>
      </c>
      <c r="C13" s="180" t="s">
        <v>416</v>
      </c>
      <c r="D13" s="180" t="s">
        <v>410</v>
      </c>
      <c r="E13" s="180" t="s">
        <v>417</v>
      </c>
      <c r="F13" s="180" t="s">
        <v>412</v>
      </c>
      <c r="G13" s="181">
        <v>127200000</v>
      </c>
      <c r="H13" s="182">
        <v>52999387.5</v>
      </c>
    </row>
    <row r="14" spans="1:18" ht="43.5" customHeight="1" x14ac:dyDescent="0.25">
      <c r="A14" s="179" t="s">
        <v>381</v>
      </c>
      <c r="B14" s="180" t="s">
        <v>380</v>
      </c>
      <c r="C14" s="180" t="s">
        <v>431</v>
      </c>
      <c r="D14" s="180" t="s">
        <v>432</v>
      </c>
      <c r="E14" s="180" t="s">
        <v>433</v>
      </c>
      <c r="F14" s="180" t="s">
        <v>434</v>
      </c>
      <c r="G14" s="181">
        <v>500000000</v>
      </c>
      <c r="H14" s="182">
        <v>500000000</v>
      </c>
    </row>
    <row r="15" spans="1:18" ht="36.75" customHeight="1" x14ac:dyDescent="0.25">
      <c r="A15" s="179" t="s">
        <v>383</v>
      </c>
      <c r="B15" s="180" t="s">
        <v>282</v>
      </c>
      <c r="C15" s="180" t="s">
        <v>435</v>
      </c>
      <c r="D15" s="180" t="s">
        <v>410</v>
      </c>
      <c r="E15" s="180" t="s">
        <v>436</v>
      </c>
      <c r="F15" s="180" t="s">
        <v>412</v>
      </c>
      <c r="G15" s="181">
        <v>234990000</v>
      </c>
      <c r="H15" s="182">
        <v>101374250</v>
      </c>
    </row>
    <row r="16" spans="1:18" ht="36.75" customHeight="1" x14ac:dyDescent="0.25">
      <c r="A16" s="179" t="s">
        <v>394</v>
      </c>
      <c r="B16" s="180" t="s">
        <v>384</v>
      </c>
      <c r="C16" s="180" t="s">
        <v>437</v>
      </c>
      <c r="D16" s="180" t="s">
        <v>438</v>
      </c>
      <c r="E16" s="180" t="s">
        <v>439</v>
      </c>
      <c r="F16" s="180" t="s">
        <v>440</v>
      </c>
      <c r="G16" s="181">
        <v>450000000</v>
      </c>
      <c r="H16" s="182">
        <v>450000000</v>
      </c>
    </row>
    <row r="17" spans="1:12" ht="50.25" customHeight="1" x14ac:dyDescent="0.25">
      <c r="A17" s="179" t="s">
        <v>391</v>
      </c>
      <c r="B17" s="180" t="s">
        <v>380</v>
      </c>
      <c r="C17" s="180" t="s">
        <v>427</v>
      </c>
      <c r="D17" s="180" t="s">
        <v>432</v>
      </c>
      <c r="E17" s="180" t="s">
        <v>429</v>
      </c>
      <c r="F17" s="180" t="s">
        <v>434</v>
      </c>
      <c r="G17" s="181">
        <v>1248200000</v>
      </c>
      <c r="H17" s="182">
        <v>1248200000</v>
      </c>
    </row>
    <row r="18" spans="1:12" ht="30.75" customHeight="1" x14ac:dyDescent="0.25">
      <c r="A18" s="179" t="s">
        <v>392</v>
      </c>
      <c r="B18" s="180" t="s">
        <v>282</v>
      </c>
      <c r="C18" s="180" t="s">
        <v>413</v>
      </c>
      <c r="D18" s="180" t="s">
        <v>410</v>
      </c>
      <c r="E18" s="180" t="s">
        <v>414</v>
      </c>
      <c r="F18" s="180" t="s">
        <v>412</v>
      </c>
      <c r="G18" s="181">
        <v>139373675</v>
      </c>
      <c r="H18" s="182">
        <v>139373675</v>
      </c>
    </row>
    <row r="19" spans="1:12" ht="27.75" customHeight="1" x14ac:dyDescent="0.25">
      <c r="A19" s="179" t="s">
        <v>393</v>
      </c>
      <c r="B19" s="180" t="s">
        <v>395</v>
      </c>
      <c r="C19" s="180" t="s">
        <v>441</v>
      </c>
      <c r="D19" s="180" t="s">
        <v>442</v>
      </c>
      <c r="E19" s="180" t="s">
        <v>443</v>
      </c>
      <c r="F19" s="180" t="s">
        <v>444</v>
      </c>
      <c r="G19" s="181">
        <v>900000000</v>
      </c>
      <c r="H19" s="182">
        <v>900000000</v>
      </c>
    </row>
    <row r="20" spans="1:12" ht="38.25" customHeight="1" x14ac:dyDescent="0.25">
      <c r="A20" s="179" t="s">
        <v>394</v>
      </c>
      <c r="B20" s="180" t="s">
        <v>396</v>
      </c>
      <c r="C20" s="180" t="s">
        <v>437</v>
      </c>
      <c r="D20" s="180" t="s">
        <v>445</v>
      </c>
      <c r="E20" s="180" t="s">
        <v>439</v>
      </c>
      <c r="F20" s="180" t="s">
        <v>446</v>
      </c>
      <c r="G20" s="181">
        <v>250000000</v>
      </c>
      <c r="H20" s="182">
        <v>250000000</v>
      </c>
    </row>
    <row r="21" spans="1:12" ht="38.25" customHeight="1" x14ac:dyDescent="0.25">
      <c r="A21" s="179" t="s">
        <v>415</v>
      </c>
      <c r="B21" s="180" t="s">
        <v>282</v>
      </c>
      <c r="C21" s="180" t="s">
        <v>416</v>
      </c>
      <c r="D21" s="180" t="s">
        <v>410</v>
      </c>
      <c r="E21" s="180" t="s">
        <v>417</v>
      </c>
      <c r="F21" s="180" t="s">
        <v>412</v>
      </c>
      <c r="G21" s="181">
        <v>218138000</v>
      </c>
      <c r="H21" s="182">
        <v>218138000</v>
      </c>
      <c r="I21" s="183"/>
      <c r="J21" s="183"/>
      <c r="K21" s="183"/>
      <c r="L21" s="183"/>
    </row>
    <row r="22" spans="1:12" ht="38.25" customHeight="1" x14ac:dyDescent="0.25">
      <c r="A22" s="179" t="s">
        <v>408</v>
      </c>
      <c r="B22" s="180" t="s">
        <v>282</v>
      </c>
      <c r="C22" s="180" t="s">
        <v>409</v>
      </c>
      <c r="D22" s="180" t="s">
        <v>410</v>
      </c>
      <c r="E22" s="180" t="s">
        <v>411</v>
      </c>
      <c r="F22" s="180" t="s">
        <v>412</v>
      </c>
      <c r="G22" s="181">
        <v>692955973</v>
      </c>
      <c r="H22" s="182">
        <v>692955973</v>
      </c>
      <c r="I22" s="183"/>
      <c r="J22" s="183"/>
      <c r="K22" s="183"/>
      <c r="L22" s="183"/>
    </row>
    <row r="23" spans="1:12" ht="38.25" customHeight="1" x14ac:dyDescent="0.25">
      <c r="A23" s="179" t="s">
        <v>452</v>
      </c>
      <c r="B23" s="180" t="s">
        <v>282</v>
      </c>
      <c r="C23" s="180" t="s">
        <v>418</v>
      </c>
      <c r="D23" s="180" t="s">
        <v>410</v>
      </c>
      <c r="E23" s="180" t="s">
        <v>419</v>
      </c>
      <c r="F23" s="180" t="s">
        <v>412</v>
      </c>
      <c r="G23" s="181">
        <v>674283500</v>
      </c>
      <c r="H23" s="182">
        <v>674283500</v>
      </c>
      <c r="I23" s="183"/>
      <c r="J23" s="183"/>
      <c r="K23" s="183"/>
      <c r="L23" s="183"/>
    </row>
    <row r="24" spans="1:12" ht="36" customHeight="1" thickBot="1" x14ac:dyDescent="0.3">
      <c r="A24" s="275" t="s">
        <v>447</v>
      </c>
      <c r="B24" s="276"/>
      <c r="C24" s="276" t="s">
        <v>448</v>
      </c>
      <c r="D24" s="276"/>
      <c r="E24" s="276" t="s">
        <v>449</v>
      </c>
      <c r="F24" s="276"/>
      <c r="G24" s="184"/>
      <c r="H24" s="185"/>
    </row>
    <row r="25" spans="1:12" ht="35.1" customHeight="1" x14ac:dyDescent="0.25"/>
    <row r="26" spans="1:12" ht="27.75" customHeight="1" x14ac:dyDescent="0.25"/>
    <row r="27" spans="1:12" ht="54.75" customHeight="1" x14ac:dyDescent="0.25"/>
  </sheetData>
  <mergeCells count="12">
    <mergeCell ref="A2:B2"/>
    <mergeCell ref="C2:D2"/>
    <mergeCell ref="E2:F2"/>
    <mergeCell ref="A4:B4"/>
    <mergeCell ref="C4:D4"/>
    <mergeCell ref="E4:F4"/>
    <mergeCell ref="A5:B5"/>
    <mergeCell ref="C5:D5"/>
    <mergeCell ref="E5:F5"/>
    <mergeCell ref="A24:B24"/>
    <mergeCell ref="C24:D24"/>
    <mergeCell ref="E24:F24"/>
  </mergeCells>
  <printOptions horizontalCentered="1"/>
  <pageMargins left="0.5" right="0.5" top="0.25" bottom="0.25" header="7.0000000000000007E-2" footer="0.16"/>
  <pageSetup paperSize="9" scale="40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հուլիս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Նաիրա Մանրիկյան</cp:lastModifiedBy>
  <cp:lastPrinted>2023-08-01T13:36:12Z</cp:lastPrinted>
  <dcterms:created xsi:type="dcterms:W3CDTF">2021-02-19T11:33:22Z</dcterms:created>
  <dcterms:modified xsi:type="dcterms:W3CDTF">2023-08-01T13:48:33Z</dcterms:modified>
  <cp:keywords>https://mul2-minfin.gov.am/tasks/670405/oneclick/f95f7dc2dce1be37349a2cd284ad2f4e24a8677cffbb608b2e66344252bf197a.xlsx?token=14a2b5de88587aa8a4fdbe96cc3dceb3</cp:keywords>
</cp:coreProperties>
</file>