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865"/>
  </bookViews>
  <sheets>
    <sheet name="buje-ampop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63" i="2" l="1"/>
  <c r="M63" i="2"/>
  <c r="J63" i="2"/>
  <c r="E63" i="2"/>
  <c r="D63" i="2"/>
  <c r="C63" i="2"/>
  <c r="O62" i="2"/>
  <c r="C62" i="2" s="1"/>
  <c r="M62" i="2"/>
  <c r="J62" i="2"/>
  <c r="G62" i="2"/>
  <c r="E62" i="2"/>
  <c r="O61" i="2"/>
  <c r="P61" i="2" s="1"/>
  <c r="L61" i="2"/>
  <c r="M61" i="2" s="1"/>
  <c r="I61" i="2"/>
  <c r="J61" i="2" s="1"/>
  <c r="G61" i="2"/>
  <c r="E61" i="2"/>
  <c r="C61" i="2"/>
  <c r="O60" i="2"/>
  <c r="P60" i="2" s="1"/>
  <c r="L60" i="2"/>
  <c r="C60" i="2" s="1"/>
  <c r="I60" i="2"/>
  <c r="G60" i="2"/>
  <c r="E60" i="2"/>
  <c r="P59" i="2"/>
  <c r="O59" i="2"/>
  <c r="M59" i="2"/>
  <c r="L59" i="2"/>
  <c r="G59" i="2"/>
  <c r="E59" i="2"/>
  <c r="D59" i="2"/>
  <c r="C59" i="2"/>
  <c r="P58" i="2"/>
  <c r="O58" i="2"/>
  <c r="M58" i="2"/>
  <c r="L58" i="2"/>
  <c r="C58" i="2" s="1"/>
  <c r="J58" i="2"/>
  <c r="I58" i="2"/>
  <c r="G58" i="2"/>
  <c r="D58" i="2" s="1"/>
  <c r="E58" i="2"/>
  <c r="P57" i="2"/>
  <c r="O57" i="2"/>
  <c r="M57" i="2"/>
  <c r="L57" i="2"/>
  <c r="J57" i="2"/>
  <c r="I57" i="2"/>
  <c r="G57" i="2"/>
  <c r="E57" i="2"/>
  <c r="D57" i="2"/>
  <c r="C57" i="2"/>
  <c r="P56" i="2"/>
  <c r="O56" i="2"/>
  <c r="M56" i="2"/>
  <c r="L56" i="2"/>
  <c r="C56" i="2" s="1"/>
  <c r="J56" i="2"/>
  <c r="I56" i="2"/>
  <c r="G56" i="2"/>
  <c r="D56" i="2" s="1"/>
  <c r="E56" i="2"/>
  <c r="P55" i="2"/>
  <c r="D55" i="2" s="1"/>
  <c r="M55" i="2"/>
  <c r="J55" i="2"/>
  <c r="G55" i="2"/>
  <c r="E55" i="2"/>
  <c r="C55" i="2"/>
  <c r="O54" i="2"/>
  <c r="P54" i="2" s="1"/>
  <c r="M54" i="2"/>
  <c r="L54" i="2"/>
  <c r="I54" i="2"/>
  <c r="J54" i="2" s="1"/>
  <c r="G54" i="2"/>
  <c r="E54" i="2"/>
  <c r="C54" i="2"/>
  <c r="P53" i="2"/>
  <c r="M53" i="2"/>
  <c r="L53" i="2"/>
  <c r="J53" i="2"/>
  <c r="I53" i="2"/>
  <c r="G53" i="2"/>
  <c r="E53" i="2"/>
  <c r="D53" i="2"/>
  <c r="C53" i="2"/>
  <c r="P52" i="2"/>
  <c r="M52" i="2"/>
  <c r="J52" i="2"/>
  <c r="I52" i="2"/>
  <c r="G52" i="2"/>
  <c r="E52" i="2"/>
  <c r="D52" i="2"/>
  <c r="C52" i="2"/>
  <c r="P51" i="2"/>
  <c r="J51" i="2"/>
  <c r="G51" i="2"/>
  <c r="D51" i="2" s="1"/>
  <c r="E51" i="2"/>
  <c r="C51" i="2"/>
  <c r="P50" i="2"/>
  <c r="O50" i="2"/>
  <c r="M50" i="2"/>
  <c r="L50" i="2"/>
  <c r="J50" i="2"/>
  <c r="I50" i="2"/>
  <c r="G50" i="2"/>
  <c r="E50" i="2"/>
  <c r="D50" i="2"/>
  <c r="C50" i="2"/>
  <c r="O49" i="2"/>
  <c r="P49" i="2" s="1"/>
  <c r="M49" i="2"/>
  <c r="L49" i="2"/>
  <c r="I49" i="2"/>
  <c r="J49" i="2" s="1"/>
  <c r="G49" i="2"/>
  <c r="E49" i="2"/>
  <c r="C49" i="2"/>
  <c r="O48" i="2"/>
  <c r="P48" i="2" s="1"/>
  <c r="L48" i="2"/>
  <c r="C48" i="2" s="1"/>
  <c r="I48" i="2"/>
  <c r="J48" i="2" s="1"/>
  <c r="G48" i="2"/>
  <c r="E48" i="2"/>
  <c r="O47" i="2"/>
  <c r="P47" i="2" s="1"/>
  <c r="L47" i="2"/>
  <c r="M47" i="2" s="1"/>
  <c r="I47" i="2"/>
  <c r="J47" i="2" s="1"/>
  <c r="G47" i="2"/>
  <c r="D47" i="2" s="1"/>
  <c r="E47" i="2"/>
  <c r="C47" i="2"/>
  <c r="O46" i="2"/>
  <c r="P46" i="2" s="1"/>
  <c r="M46" i="2"/>
  <c r="J46" i="2"/>
  <c r="G46" i="2"/>
  <c r="E46" i="2"/>
  <c r="C46" i="2"/>
  <c r="O45" i="2"/>
  <c r="P45" i="2" s="1"/>
  <c r="L45" i="2"/>
  <c r="C45" i="2" s="1"/>
  <c r="I45" i="2"/>
  <c r="J45" i="2" s="1"/>
  <c r="G45" i="2"/>
  <c r="E45" i="2"/>
  <c r="O44" i="2"/>
  <c r="P44" i="2" s="1"/>
  <c r="L44" i="2"/>
  <c r="M44" i="2" s="1"/>
  <c r="I44" i="2"/>
  <c r="J44" i="2" s="1"/>
  <c r="G44" i="2"/>
  <c r="E44" i="2"/>
  <c r="C44" i="2"/>
  <c r="O43" i="2"/>
  <c r="P43" i="2" s="1"/>
  <c r="L43" i="2"/>
  <c r="C43" i="2" s="1"/>
  <c r="I43" i="2"/>
  <c r="J43" i="2" s="1"/>
  <c r="G43" i="2"/>
  <c r="E43" i="2"/>
  <c r="O42" i="2"/>
  <c r="P42" i="2" s="1"/>
  <c r="L42" i="2"/>
  <c r="M42" i="2" s="1"/>
  <c r="I42" i="2"/>
  <c r="J42" i="2" s="1"/>
  <c r="G42" i="2"/>
  <c r="D42" i="2" s="1"/>
  <c r="E42" i="2"/>
  <c r="C42" i="2"/>
  <c r="O41" i="2"/>
  <c r="P41" i="2" s="1"/>
  <c r="L41" i="2"/>
  <c r="C41" i="2" s="1"/>
  <c r="I41" i="2"/>
  <c r="J41" i="2" s="1"/>
  <c r="G41" i="2"/>
  <c r="E41" i="2"/>
  <c r="E40" i="2"/>
  <c r="D40" i="2"/>
  <c r="C40" i="2"/>
  <c r="E39" i="2"/>
  <c r="D39" i="2"/>
  <c r="C39" i="2"/>
  <c r="E38" i="2"/>
  <c r="D38" i="2"/>
  <c r="C38" i="2"/>
  <c r="O37" i="2"/>
  <c r="P37" i="2" s="1"/>
  <c r="L37" i="2"/>
  <c r="C37" i="2" s="1"/>
  <c r="I37" i="2"/>
  <c r="J37" i="2" s="1"/>
  <c r="G37" i="2"/>
  <c r="E37" i="2"/>
  <c r="O36" i="2"/>
  <c r="P36" i="2" s="1"/>
  <c r="L36" i="2"/>
  <c r="M36" i="2" s="1"/>
  <c r="I36" i="2"/>
  <c r="J36" i="2" s="1"/>
  <c r="G36" i="2"/>
  <c r="E36" i="2"/>
  <c r="C36" i="2"/>
  <c r="O35" i="2"/>
  <c r="P35" i="2" s="1"/>
  <c r="L35" i="2"/>
  <c r="C35" i="2" s="1"/>
  <c r="I35" i="2"/>
  <c r="J35" i="2" s="1"/>
  <c r="G35" i="2"/>
  <c r="E35" i="2"/>
  <c r="O34" i="2"/>
  <c r="P34" i="2" s="1"/>
  <c r="L34" i="2"/>
  <c r="M34" i="2" s="1"/>
  <c r="I34" i="2"/>
  <c r="J34" i="2" s="1"/>
  <c r="G34" i="2"/>
  <c r="E34" i="2"/>
  <c r="C34" i="2"/>
  <c r="O33" i="2"/>
  <c r="P33" i="2" s="1"/>
  <c r="L33" i="2"/>
  <c r="C33" i="2" s="1"/>
  <c r="I33" i="2"/>
  <c r="J33" i="2" s="1"/>
  <c r="G33" i="2"/>
  <c r="E33" i="2"/>
  <c r="O32" i="2"/>
  <c r="P32" i="2" s="1"/>
  <c r="L32" i="2"/>
  <c r="M32" i="2" s="1"/>
  <c r="I32" i="2"/>
  <c r="J32" i="2" s="1"/>
  <c r="D32" i="2" s="1"/>
  <c r="E32" i="2"/>
  <c r="P31" i="2"/>
  <c r="O31" i="2"/>
  <c r="M31" i="2"/>
  <c r="L31" i="2"/>
  <c r="J31" i="2"/>
  <c r="I31" i="2"/>
  <c r="G31" i="2"/>
  <c r="E31" i="2"/>
  <c r="D31" i="2"/>
  <c r="C31" i="2"/>
  <c r="P30" i="2"/>
  <c r="O30" i="2"/>
  <c r="M30" i="2"/>
  <c r="L30" i="2"/>
  <c r="C30" i="2" s="1"/>
  <c r="J30" i="2"/>
  <c r="I30" i="2"/>
  <c r="G30" i="2"/>
  <c r="D30" i="2" s="1"/>
  <c r="E30" i="2"/>
  <c r="P29" i="2"/>
  <c r="M29" i="2"/>
  <c r="J29" i="2"/>
  <c r="D29" i="2" s="1"/>
  <c r="G29" i="2"/>
  <c r="E29" i="2"/>
  <c r="C29" i="2"/>
  <c r="P28" i="2"/>
  <c r="M28" i="2"/>
  <c r="J28" i="2"/>
  <c r="G28" i="2"/>
  <c r="E28" i="2"/>
  <c r="D28" i="2"/>
  <c r="C28" i="2"/>
  <c r="P27" i="2"/>
  <c r="O27" i="2"/>
  <c r="M27" i="2"/>
  <c r="L27" i="2"/>
  <c r="C27" i="2" s="1"/>
  <c r="J27" i="2"/>
  <c r="I27" i="2"/>
  <c r="G27" i="2"/>
  <c r="D27" i="2" s="1"/>
  <c r="E27" i="2"/>
  <c r="P26" i="2"/>
  <c r="O26" i="2"/>
  <c r="M26" i="2"/>
  <c r="L26" i="2"/>
  <c r="J26" i="2"/>
  <c r="G26" i="2"/>
  <c r="D26" i="2" s="1"/>
  <c r="E26" i="2"/>
  <c r="C26" i="2"/>
  <c r="O25" i="2"/>
  <c r="P25" i="2" s="1"/>
  <c r="L25" i="2"/>
  <c r="C25" i="2" s="1"/>
  <c r="I25" i="2"/>
  <c r="J25" i="2" s="1"/>
  <c r="G25" i="2"/>
  <c r="E25" i="2"/>
  <c r="O24" i="2"/>
  <c r="P24" i="2" s="1"/>
  <c r="L24" i="2"/>
  <c r="M24" i="2" s="1"/>
  <c r="I24" i="2"/>
  <c r="C24" i="2" s="1"/>
  <c r="G24" i="2"/>
  <c r="E24" i="2"/>
  <c r="O23" i="2"/>
  <c r="P23" i="2" s="1"/>
  <c r="L23" i="2"/>
  <c r="C23" i="2" s="1"/>
  <c r="I23" i="2"/>
  <c r="J23" i="2" s="1"/>
  <c r="G23" i="2"/>
  <c r="E23" i="2"/>
  <c r="P22" i="2"/>
  <c r="M22" i="2"/>
  <c r="I22" i="2"/>
  <c r="J22" i="2" s="1"/>
  <c r="D22" i="2" s="1"/>
  <c r="G22" i="2"/>
  <c r="E22" i="2"/>
  <c r="C22" i="2"/>
  <c r="O21" i="2"/>
  <c r="P21" i="2" s="1"/>
  <c r="L21" i="2"/>
  <c r="M21" i="2" s="1"/>
  <c r="I21" i="2"/>
  <c r="J21" i="2" s="1"/>
  <c r="G21" i="2"/>
  <c r="D21" i="2" s="1"/>
  <c r="E21" i="2"/>
  <c r="C21" i="2"/>
  <c r="O20" i="2"/>
  <c r="P20" i="2" s="1"/>
  <c r="L20" i="2"/>
  <c r="C20" i="2" s="1"/>
  <c r="I20" i="2"/>
  <c r="J20" i="2" s="1"/>
  <c r="G20" i="2"/>
  <c r="E20" i="2"/>
  <c r="O19" i="2"/>
  <c r="P19" i="2" s="1"/>
  <c r="L19" i="2"/>
  <c r="M19" i="2" s="1"/>
  <c r="I19" i="2"/>
  <c r="I18" i="2" s="1"/>
  <c r="I9" i="2" s="1"/>
  <c r="G19" i="2"/>
  <c r="E19" i="2"/>
  <c r="E18" i="2" s="1"/>
  <c r="C19" i="2"/>
  <c r="Q18" i="2"/>
  <c r="N18" i="2"/>
  <c r="K18" i="2"/>
  <c r="H18" i="2"/>
  <c r="F18" i="2"/>
  <c r="E17" i="2"/>
  <c r="D17" i="2"/>
  <c r="C17" i="2"/>
  <c r="M16" i="2"/>
  <c r="J16" i="2"/>
  <c r="G16" i="2"/>
  <c r="E16" i="2"/>
  <c r="D16" i="2"/>
  <c r="C16" i="2"/>
  <c r="M15" i="2"/>
  <c r="M10" i="2" s="1"/>
  <c r="J15" i="2"/>
  <c r="G15" i="2"/>
  <c r="G10" i="2" s="1"/>
  <c r="E15" i="2"/>
  <c r="P14" i="2"/>
  <c r="E14" i="2"/>
  <c r="D14" i="2"/>
  <c r="C14" i="2"/>
  <c r="P13" i="2"/>
  <c r="E13" i="2"/>
  <c r="D13" i="2"/>
  <c r="C13" i="2"/>
  <c r="P12" i="2"/>
  <c r="E12" i="2"/>
  <c r="D12" i="2"/>
  <c r="C12" i="2"/>
  <c r="P11" i="2"/>
  <c r="E11" i="2"/>
  <c r="E10" i="2" s="1"/>
  <c r="D11" i="2"/>
  <c r="C11" i="2"/>
  <c r="C10" i="2" s="1"/>
  <c r="Q10" i="2"/>
  <c r="P10" i="2"/>
  <c r="O10" i="2"/>
  <c r="N10" i="2"/>
  <c r="N9" i="2" s="1"/>
  <c r="L10" i="2"/>
  <c r="K10" i="2"/>
  <c r="J10" i="2"/>
  <c r="I10" i="2"/>
  <c r="H10" i="2"/>
  <c r="H9" i="2" s="1"/>
  <c r="F10" i="2"/>
  <c r="F9" i="2" s="1"/>
  <c r="D10" i="2"/>
  <c r="Q9" i="2"/>
  <c r="K9" i="2"/>
  <c r="D37" i="2" l="1"/>
  <c r="D19" i="2"/>
  <c r="E9" i="2"/>
  <c r="D25" i="2"/>
  <c r="D36" i="2"/>
  <c r="D46" i="2"/>
  <c r="C18" i="2"/>
  <c r="C9" i="2" s="1"/>
  <c r="D34" i="2"/>
  <c r="D41" i="2"/>
  <c r="D44" i="2"/>
  <c r="D49" i="2"/>
  <c r="D54" i="2"/>
  <c r="D61" i="2"/>
  <c r="G18" i="2"/>
  <c r="G9" i="2" s="1"/>
  <c r="O18" i="2"/>
  <c r="O9" i="2" s="1"/>
  <c r="J19" i="2"/>
  <c r="M20" i="2"/>
  <c r="M18" i="2" s="1"/>
  <c r="M9" i="2" s="1"/>
  <c r="M23" i="2"/>
  <c r="D23" i="2" s="1"/>
  <c r="J24" i="2"/>
  <c r="D24" i="2" s="1"/>
  <c r="M25" i="2"/>
  <c r="C32" i="2"/>
  <c r="M33" i="2"/>
  <c r="D33" i="2" s="1"/>
  <c r="M35" i="2"/>
  <c r="D35" i="2" s="1"/>
  <c r="M37" i="2"/>
  <c r="M41" i="2"/>
  <c r="M43" i="2"/>
  <c r="D43" i="2" s="1"/>
  <c r="M45" i="2"/>
  <c r="D45" i="2" s="1"/>
  <c r="M48" i="2"/>
  <c r="D48" i="2" s="1"/>
  <c r="M60" i="2"/>
  <c r="D60" i="2" s="1"/>
  <c r="P62" i="2"/>
  <c r="D62" i="2" s="1"/>
  <c r="L18" i="2"/>
  <c r="D18" i="2" l="1"/>
  <c r="D9" i="2" s="1"/>
  <c r="D20" i="2"/>
  <c r="L9" i="2"/>
  <c r="P18" i="2"/>
  <c r="P9" i="2" s="1"/>
  <c r="J18" i="2"/>
  <c r="J9" i="2" s="1"/>
</calcChain>
</file>

<file path=xl/comments1.xml><?xml version="1.0" encoding="utf-8"?>
<comments xmlns="http://schemas.openxmlformats.org/spreadsheetml/2006/main">
  <authors>
    <author>Author</author>
  </authors>
  <commentList>
    <comment ref="J28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Տեղի է ունեցել վերաբաշխում և նախատեսումը փոխվել է
</t>
        </r>
      </text>
    </comment>
  </commentList>
</comments>
</file>

<file path=xl/sharedStrings.xml><?xml version="1.0" encoding="utf-8"?>
<sst xmlns="http://schemas.openxmlformats.org/spreadsheetml/2006/main" count="137" uniqueCount="117">
  <si>
    <t xml:space="preserve"> </t>
  </si>
  <si>
    <t>3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</si>
  <si>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</si>
  <si>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</si>
  <si>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</si>
  <si>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</si>
  <si>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</si>
  <si>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</si>
  <si>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</si>
  <si>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</si>
  <si>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</si>
  <si>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</si>
  <si>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</si>
  <si>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</si>
  <si>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</si>
  <si>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</si>
  <si>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</si>
  <si>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</si>
  <si>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</si>
  <si>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</si>
  <si>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Ռուսաստանի Դաշնության կողմից Հայաստանի Հանրապետությանն անհատույց ֆինանսական օգնության դրամաշնորհային ծրագրի շրջանակներում խորհրդատվական ծառայությունների ձեռքբերում</t>
  </si>
  <si>
    <t>Ռուսաստանի Դաշնության կողմից Հայաստանի Հանրապետությանն անհատույց ֆինանսական օգնության դրամաշնորհային ծրագիր շրջանակներում ԿՖԿՏՀ ներդրում</t>
  </si>
  <si>
    <t>ԱՄՆ ՄԶԳ աջակցությամբ իրականացվող Տեղական ինքնակառավարման բարեփոխումների
 դրամաշնորհային ծրագրի շրջանակներում ՀՀ խոշորացվող համայնքներում հանրային ծառայությունների բարելավում, ընդլայնում, միջհամայնքային ենթածրագրերի նախագծում, ընտրություն և իրականացում</t>
  </si>
  <si>
    <t>Արևելյան եվրոպայի էներգախնայողության և բնապահպանական գործընկերության ֆոնդի
 աջակցությամբ իրականացվող Երևանի քաղաքային լուսավորության դրամաշնորհային ծրագրի կատարման ապահովում</t>
  </si>
  <si>
    <t>Վերակառուցման և զարգացման եվրոպական բանկի աջակցությամբ իրականացվող Երևանի քաղաքային լուսավորության դրամաշնորհային ծրագրի կատարման ապահովում</t>
  </si>
  <si>
    <t>Եվրոպական միության աջակցությամբ իրականացվող Հայաստանի տարածքային զարգացման դրամաշնորհային ծրագիր</t>
  </si>
  <si>
    <t>ՀՀ կայունացման և զարգացման Եվրասիական հիմնադրամի միջոցներից ֆինանսավորվող
 «Առողջապահության առաջնային օղակում ոչ վարակիչ հիվանդությունների կանխարգելման և վերահսկողության  կատարելագործում» ծրագիր</t>
  </si>
  <si>
    <t>Գերմանիայի զարգացման վարկերի բանկի (KFW) աջակցությամբ իրականացվող դրամաշնորհային ծրագրի շրջանակներում Սյունիքի մարզի ԲՀՊՏ-ների հարակից բնակավայրերի կարողությունների
բարելավում</t>
  </si>
  <si>
    <t>Գերմանիայի զարգացման վարկերի բանկի (KFW) աջակցությամբ իրականացվող դրամաշնորհային ծրագրի շրջանակներում Սյունիքի մարզի ԲՀՊՏ-ներին, անտառային տարածքների, ոլորտի պետական կառույցների  տեխնիկական կարողությունների բարելավում</t>
  </si>
  <si>
    <t>Վերակառուցման և զարգացման միջազգային բանկի աջակցությամբ իրականացվող
 «Գյուղատնտեսության ոլորտում քաղաքականության մոնիթորինգի և գնահատման կարողությունների զարգացման» դրամաշնորհային ծրագիր</t>
  </si>
  <si>
    <t>Գլոբալ էկոլոգիական հիմնադրամի աջակցությամբ իրականացվող «Հայաստանում արտադրողականության աճին ուղղված հողերի  կայուն կառավարում» դրամաշնորհային ծրագրի շրջանակներում ֆինանսական փաթեթների տրամադրում</t>
  </si>
  <si>
    <t>Գյուղատնտեսության զարգացման միջազգային հիմնադրամի  աջակցությամբ իրականացվող
 «Ենթակառուցվածքների և գյուղական ֆինանսավորման աջակցություն» դրամաշնորհային ծրագրի շրջանակներում սառնարանային տնտեսությունների կառուցում</t>
  </si>
  <si>
    <t>Համաշխարհային բանկի աջակցությամբ իրականացվող Երկրաջերմային հետախուզական հորատման դրամաշնորհային ծրագիր</t>
  </si>
  <si>
    <t>Եվրոպական միության հարևանության ներդրումային ծրագրի աջակցությամբ իրականացվող
 Երևանի ջրամատակարարման բարելավման դրամաշնորհային ծրագրի շրջանակներում Ջրամատակարարման և ջրահեռացման ենթակառուցվածքների հիմնանորոգում</t>
  </si>
  <si>
    <t>Եվրոպական ներդրումային բանկի աջակցությամբ իրականացվող Հյուսիս-հարավ միջանցքի
 զարգացման դրամաշնորհային ծրագրի համակարգում և կառավարում</t>
  </si>
  <si>
    <t>Համաշխարհային բանկի աջակցությամբ իրականացվող վիճակագրական համակարգի զարգացման համար ազգային ռազմավարական ծրագրի իրականացման դրամաշնորհային ծրագրի
 ապահովում</t>
  </si>
  <si>
    <t>Համաշխարհային բանկի աջակցությամբ իրականացվող վիճակագրական համակարգի զարգացման  համար ազգային ռազմավարական ծրագրի իրականացման դրամաշնորհային ծրագրի շրջանակներում վիճակագրական կոմիտեի շենքային պայմանների բարելավում</t>
  </si>
  <si>
    <t>Համաշխարհային բանկի աջակցությամբ իրականացվող վիճակագրական համակարգի զարգացման համար ազգային ռազմավարական ծրագրի իրականացման դրամաշնորհային ծրագրի շրջանակներում վիճակագրական կոմիտեի տեխնիկական հագեցվածության բարելավում</t>
  </si>
  <si>
    <t>Տեղեկանք</t>
  </si>
  <si>
    <t>հազ. դրամ</t>
  </si>
  <si>
    <t>ԴՐԱՄԱՇՆՈՐՀԸ</t>
  </si>
  <si>
    <t xml:space="preserve"> 1-ին եռ. </t>
  </si>
  <si>
    <t xml:space="preserve"> 2-րդ եռ. </t>
  </si>
  <si>
    <t xml:space="preserve"> 3-րդ եռ. </t>
  </si>
  <si>
    <t xml:space="preserve"> 4-րդ եռ. </t>
  </si>
  <si>
    <t>Նախատեսված</t>
  </si>
  <si>
    <t>Ճշտված</t>
  </si>
  <si>
    <t>Փաստացի</t>
  </si>
  <si>
    <t>ՊԱՇՏՈՆԱԿԱՆ ՏՐԱՆՍՖԵՐՏՆԵՐ ԸՆԴԱՄԵՆԸ</t>
  </si>
  <si>
    <t>Ընդամենը չկապակցված տրանսֆերտներ, այդ թվում`</t>
  </si>
  <si>
    <t>1</t>
  </si>
  <si>
    <t>«Աջակցություն Հայաստանում մարդու իրավուքների պաշտպանությանը»  Ֆինանսավորման համաձայնագրի թիվ 1 լրացում</t>
  </si>
  <si>
    <t>2</t>
  </si>
  <si>
    <t xml:space="preserve">«Հայաստանում պետական ֆինանսների քաղաքականության բարեփոխումների ծրագիր» </t>
  </si>
  <si>
    <t xml:space="preserve">«Մասնագիտական որակավորումների բարելավում՝ աշխատատեղերի բարելավման նպատակով» </t>
  </si>
  <si>
    <t>4</t>
  </si>
  <si>
    <t>«Աջակցություն Հայաստանում հանրային կառավարման ոլորտի բարեփոխումներին, առավել արդյունավետ և արձագանքող հանրային կառավարման միջոցով ծառայությունների մատուցման որակի բարելավում»</t>
  </si>
  <si>
    <t>* «Լրացում 1` Աջակցություն ՀՀ կառավարությանը՝ ուղղված ԵՀՔ գործողությունների ծրագրի իրականացմանը - փուլ II»  2011թ. ԵՄ բազմաոլորտ բյուջետային աջակցության ծրագիր (նախատեսվել է 2017թ.)</t>
  </si>
  <si>
    <t>** «Աջակցություն Հայաստանում մարդու իրավունքների պաշտպանությանը» 2015թ. ԵՄ բյուջետային աջակցության ծրագիր (նախատեսվել է 2018թ.)</t>
  </si>
  <si>
    <t>** «Հայաստանում պետական ֆինանսների քաղաքականության բարեփոխումների ծրագիր» ԵՄ բյուջետային աջակցության ծրագիր (նախատեսվել է 2018թ.)</t>
  </si>
  <si>
    <t>Ընդամենը կապակցված տրանսֆերտներ, այդ թվում`</t>
  </si>
  <si>
    <t>ԱՄՆ Միջազգային զարգացման գործակալության աջակցությամբ իրականացվող Տեղական ինքնակառավարման բարեփոխումների դրամաշնորհային ծրագիր</t>
  </si>
  <si>
    <t>Համաշխարհային բանկի աջակցությամբ իրականացվող Սոցիալական ներդրումների և տեղական
 զարգացման  դրամաշնորհային ծրագրի շրջանակներում oժանդակության տրամադրում, միջհամայնքային ենթածրագրերի նախագծման, ընտրության և իրականացման աշխատանքներում:</t>
  </si>
  <si>
    <t>Համաշխարհային բանկի աջակցությամբ իրականացվող «Հանքարդյունաբերական ոլորտի քաղաքականության ծրագիր»  դրամաշնորհային ծրագիր</t>
  </si>
  <si>
    <t>Համաշխարհային բանկի աջակցությամբ իրականացվող «Հայաստանի արդյունահանող ճյուղերի թափանցիկության նախաձեռնությանն աջակցություն» դրամաշնորհային ծրագիր</t>
  </si>
  <si>
    <t>Վերակառուցման և զարգացման եվրոպական բանկի աջակցությամբ իրականացվող «Կոտայքի և
 Գեղարքունիքի մարզի կոշտ թափոնների կառավարման» դրամաշնորհային ծրագիր</t>
  </si>
  <si>
    <t>Վերակառուցման և զարգացման եվրոպական բանկի աջակցությամբ իրականացվող «Երևանի կոշտ թափոնների կառավարման» դրամաշնորհային ծրագիր</t>
  </si>
  <si>
    <t>Եվրոպական միության հարևանության  ներդրումային գործիքի աջակցությամբ իրականացվող
 «Երևանի կոշտ թափոնների կառավարման» դրամաշնորհային ծրագիր</t>
  </si>
  <si>
    <t>Արևելյան եվրոպայի էներգախնայողության և բնապահպանական գործընկերության ֆոնդի
 աջակցությամբ իրականացվող «Երևանի կոշտ թափոնների կառավարման» դրամաշնորհային ծրագիր</t>
  </si>
  <si>
    <t>Վերակառուցման և զարգացման եվրոպական բանկի աջակցությամբ իրականացվող «Կոտայքի և
 Գեղարքունիքի մարզի կոշտ թափոնների կառավարման խորհրդատվության համար»
 դրամաշնորհային  ծրագիր</t>
  </si>
  <si>
    <t>Եվրոպական միության հարևանության ներդրումային բանկի աջակցությամբ իրականացվող Երևանի մետրոպոլիտենի վերակառուցման երկրորդ դրամաշնորհային ծրագիր</t>
  </si>
  <si>
    <t>Վերակառուցման և զարգացման եվրոպական բանկի աջակցությամբ իրականացվող Գյումրու քաղաքային ճանապարհների տեխնիկական համագործակցության դրամաշնորհային ծրագիր</t>
  </si>
  <si>
    <t>Վերակառուցման և զարգացման եվրոպական բանկի աջակցությամբ իրականացվող Գյումրու քաղաքային ճանապարհների դրամաշնորհային ծրագիր (Տրանշ Ա)</t>
  </si>
  <si>
    <t>Համաշխարհային բանկի աջակցությամբ իրականացվող Ոչ վարակիչ հիվանդությունների կանխարգելման և վերահսկման դրամաշնորհային ծրագիր</t>
  </si>
  <si>
    <t>Գլոբալ հիմնադրամի աջակցությամբ իրականացվող «Հայաստանի Հանրապետությունում ՄԻԱՎ/ՁԻԱՀ-ի դեմ պայքարի ազգային ծրագրին աջակցություն» դրամաշնորհային ծրագիր</t>
  </si>
  <si>
    <t>Գլոբալ հիմնադրամի աջակցությամբ իրականացվող Հայաստանի Հանրապետությունուն տուբերկուլյոզի դեմ պայքարի ուժեղացում դրամաշնորհային ծրագիր</t>
  </si>
  <si>
    <t>30</t>
  </si>
  <si>
    <t>31</t>
  </si>
  <si>
    <t>Գերմանիայի զարգացման վարկերի բանկի (KfW) կողմից տրամադրվող «Կովկասի պահպանվող տարածքների աջակցության ծրագիր-Հայաստան (Էկոտարածաշրջանային ծրագիր-Հայաստան, 3- րդ փուլ)» դրամաշնորհային ծրագիր</t>
  </si>
  <si>
    <t>32</t>
  </si>
  <si>
    <t>33</t>
  </si>
  <si>
    <t>34</t>
  </si>
  <si>
    <t>35</t>
  </si>
  <si>
    <t>ԱՄՆ կառավարության աջակցությամբ իրականացվող «Հազարամյակի մարտահրավեր»
 դրամաշնորհային ծրագիր</t>
  </si>
  <si>
    <t>36</t>
  </si>
  <si>
    <t>37</t>
  </si>
  <si>
    <t>Գյուղատնտեսության զարգացման միջազգային հիմնադրամի  աջակցությամբ իրականացվող
 «Ենթակառուցվածքների և գյուղական ֆինանսավորման աջակցություն» դրամաշնորհային ծրագիր</t>
  </si>
  <si>
    <t>38</t>
  </si>
  <si>
    <t>39</t>
  </si>
  <si>
    <t>Գլոբալ էկոլոգիական հիմնադրամի աջակցությամբ իրականացվող «Հայաստանում
 արտադրողականության աճին ուղղված հողերի  կայուն կառավարում» դրամաշնորհային ծրագիր</t>
  </si>
  <si>
    <t>40</t>
  </si>
  <si>
    <t>41</t>
  </si>
  <si>
    <t>42</t>
  </si>
  <si>
    <t>43</t>
  </si>
  <si>
    <t>Գերմանիայի զարգացման վարկերի բանկի աջակցությամբ իրականացվող Համայնքային
 ենթակառուցվածքների երկրորդ ծրագրի երրորդ փուլի դրամաշնորհային ծրագրի ուղղեկցող միջոցառում</t>
  </si>
  <si>
    <t>44</t>
  </si>
  <si>
    <t>Վերակառուցման և զարգացման եվրոպական բանկի աջակցությամբ իրականացվող Երևանի ջրամատակարարման բարելավման դրամաշնորհային ծրագիր</t>
  </si>
  <si>
    <t>45</t>
  </si>
  <si>
    <t>Եվրոպական միության հարևանության ներդրումային ծրագրի աջակցությամբ իրականացվող
 Երևանի ջրամատակարարման բարելավման դրամաշնորհային ծրագիր</t>
  </si>
  <si>
    <t>Գերմանիայի զարգացման և Եվրոպական միության հարևանության ներդրումային բանկի
 աջակցությամբ իրականացվող ջրամատակարարման և ջրահեռացման ենթակառուցվածքների
 դրամաշնորհային ծրագիր` երրորդ փուլ</t>
  </si>
  <si>
    <t>ՌԴ աջակցությամբ իրականացվող Հայկական ԱԷԿ-ի N 2 էներգաբլոկի շահագործման նախագծային ժամկետի երկարացման դրամաշնորհային ծրագրի շրջանակներում իրականացվող ներդրումներ</t>
  </si>
  <si>
    <t>Եվրոպական ներդրումային բանկի աջակցությամբ իրականացվող Հյուսիս-հարավ միջանցքի
 զարգացման դրամաշնորհային ծրագիր, Տրանշ 3</t>
  </si>
  <si>
    <t>* Դրամաշնորհի գումարը նախատեսված է եղել 2017թ., սակայն փաստացի գումարը ստացվել է 08.01.2019թ.</t>
  </si>
  <si>
    <t>** Դրամաշնորհի գումարը նախատեսված է եղել 2018թ., սակայն փաստացի գումարը ստացվել է 08.01.2019թ.</t>
  </si>
  <si>
    <t xml:space="preserve">2019թ  </t>
  </si>
  <si>
    <t>Եվրո/դրամ 553.65</t>
  </si>
  <si>
    <t>ԱՄՆ դոլար/դրամ 486.55</t>
  </si>
  <si>
    <t>23</t>
  </si>
  <si>
    <t>24</t>
  </si>
  <si>
    <t>25</t>
  </si>
  <si>
    <t>26</t>
  </si>
  <si>
    <t>27</t>
  </si>
  <si>
    <t>28</t>
  </si>
  <si>
    <t>29</t>
  </si>
  <si>
    <t>* Համաշխարհային բանկի աջակցությամբ իրականացվող արդյունաբերական մասշտաբի արևային
 էներգիայի ծրագրի նախապատրաստման դրամաշնորհի ծրագիր</t>
  </si>
  <si>
    <t>* Համաձայն ՀՀ կառ.27.06.2019թ. Թիվ 818-Ն որոշում</t>
  </si>
  <si>
    <t>2019 թվականի պետական բյուջեով նախատեսված Հայաստանի Հանրապետությանը տրամադրված դրամաշնորհների վերաբերյալ 30.09.2019թ. դրությամբ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</si>
</sst>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(* #,##0.00_);_(* \(#,##0.00\);_(* &quot;-&quot;??_);_(@_)"/>
    <numFmt numFmtId="164" formatCode="_(* #,##0.0_);_(* \(#,##0.0\);_(* &quot;-&quot;??_);_(@_)"/>
    <numFmt numFmtId="165" formatCode="_-* #,##0.00_р_._-;\-* #,##0.00_р_._-;_-* &quot;-&quot;??_р_._-;_-@_-"/>
    <numFmt numFmtId="166" formatCode="_(* #,##0.00_);_(* \(#,##0.00\);_(* &quot;-&quot;?_);_(@_)"/>
    <numFmt numFmtId="167" formatCode="_(* #,##0_);_(* \(#,##0\);_(* &quot;-&quot;??_);_(@_)"/>
    <numFmt numFmtId="168" formatCode="_(* #,##0.0_);_(* \(#,##0.0\);_(* &quot;-&quot;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4"/>
      <name val="GHEA Grapalat"/>
      <family val="3"/>
    </font>
    <font>
      <b/>
      <sz val="14"/>
      <name val="GHEA Grapalat"/>
      <family val="3"/>
    </font>
    <font>
      <sz val="13"/>
      <name val="GHEA Grapalat"/>
      <family val="3"/>
    </font>
    <font>
      <sz val="10"/>
      <name val="Times Armenian"/>
      <family val="1"/>
    </font>
    <font>
      <sz val="10"/>
      <name val="Arial LatArm"/>
      <family val="2"/>
    </font>
    <font>
      <b/>
      <sz val="13"/>
      <name val="GHEA Grapalat"/>
      <family val="3"/>
    </font>
    <font>
      <sz val="10"/>
      <name val="Arial Armenian"/>
      <family val="2"/>
    </font>
    <font>
      <sz val="12"/>
      <name val="GHEA Grapalat"/>
      <family val="3"/>
    </font>
    <font>
      <b/>
      <sz val="12"/>
      <name val="GHEA Grapalat"/>
      <family val="3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9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6" fillId="0" borderId="0"/>
    <xf numFmtId="0" fontId="7" fillId="0" borderId="0"/>
    <xf numFmtId="0" fontId="2" fillId="0" borderId="0"/>
  </cellStyleXfs>
  <cellXfs count="69">
    <xf numFmtId="0" fontId="0" fillId="0" borderId="0" xfId="0"/>
    <xf numFmtId="0" fontId="4" fillId="2" borderId="3" xfId="0" applyFont="1" applyFill="1" applyBorder="1" applyAlignment="1">
      <alignment horizontal="center"/>
    </xf>
    <xf numFmtId="0" fontId="3" fillId="2" borderId="0" xfId="0" applyFont="1" applyFill="1" applyBorder="1"/>
    <xf numFmtId="0" fontId="4" fillId="2" borderId="0" xfId="0" applyFont="1" applyFill="1" applyBorder="1" applyAlignment="1"/>
    <xf numFmtId="0" fontId="5" fillId="2" borderId="0" xfId="0" applyFont="1" applyFill="1" applyBorder="1"/>
    <xf numFmtId="165" fontId="3" fillId="2" borderId="0" xfId="0" applyNumberFormat="1" applyFont="1" applyFill="1" applyBorder="1"/>
    <xf numFmtId="166" fontId="4" fillId="2" borderId="0" xfId="0" applyNumberFormat="1" applyFont="1" applyFill="1" applyBorder="1" applyAlignment="1">
      <alignment horizontal="center"/>
    </xf>
    <xf numFmtId="0" fontId="3" fillId="2" borderId="0" xfId="3" applyFont="1" applyFill="1" applyBorder="1" applyAlignment="1">
      <alignment vertical="center"/>
    </xf>
    <xf numFmtId="167" fontId="3" fillId="2" borderId="0" xfId="2" applyNumberFormat="1" applyFont="1" applyFill="1" applyBorder="1"/>
    <xf numFmtId="43" fontId="3" fillId="2" borderId="0" xfId="0" applyNumberFormat="1" applyFont="1" applyFill="1" applyBorder="1"/>
    <xf numFmtId="43" fontId="3" fillId="2" borderId="0" xfId="2" applyFont="1" applyFill="1" applyBorder="1"/>
    <xf numFmtId="168" fontId="3" fillId="2" borderId="0" xfId="0" applyNumberFormat="1" applyFont="1" applyFill="1" applyBorder="1"/>
    <xf numFmtId="168" fontId="3" fillId="2" borderId="0" xfId="0" applyNumberFormat="1" applyFont="1" applyFill="1" applyBorder="1" applyAlignment="1">
      <alignment vertical="center" wrapText="1"/>
    </xf>
    <xf numFmtId="0" fontId="3" fillId="2" borderId="0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4" fillId="2" borderId="4" xfId="4" applyFont="1" applyFill="1" applyBorder="1" applyAlignment="1">
      <alignment horizontal="center" vertical="center"/>
    </xf>
    <xf numFmtId="0" fontId="4" fillId="2" borderId="5" xfId="4" applyFont="1" applyFill="1" applyBorder="1" applyAlignment="1">
      <alignment horizontal="center" vertical="center"/>
    </xf>
    <xf numFmtId="166" fontId="4" fillId="2" borderId="4" xfId="4" applyNumberFormat="1" applyFont="1" applyFill="1" applyBorder="1" applyAlignment="1">
      <alignment vertical="center"/>
    </xf>
    <xf numFmtId="166" fontId="4" fillId="2" borderId="5" xfId="4" applyNumberFormat="1" applyFont="1" applyFill="1" applyBorder="1" applyAlignment="1">
      <alignment vertical="center"/>
    </xf>
    <xf numFmtId="0" fontId="8" fillId="2" borderId="0" xfId="0" applyFont="1" applyFill="1" applyBorder="1"/>
    <xf numFmtId="164" fontId="3" fillId="2" borderId="4" xfId="1" applyNumberFormat="1" applyFont="1" applyFill="1" applyBorder="1" applyAlignment="1">
      <alignment horizontal="left" vertical="center" wrapText="1"/>
    </xf>
    <xf numFmtId="166" fontId="10" fillId="2" borderId="4" xfId="4" applyNumberFormat="1" applyFont="1" applyFill="1" applyBorder="1" applyAlignment="1">
      <alignment horizontal="right" vertical="center"/>
    </xf>
    <xf numFmtId="49" fontId="10" fillId="2" borderId="3" xfId="1" applyNumberFormat="1" applyFont="1" applyFill="1" applyBorder="1" applyAlignment="1">
      <alignment horizontal="left" vertical="center" wrapText="1"/>
    </xf>
    <xf numFmtId="168" fontId="10" fillId="2" borderId="4" xfId="4" applyNumberFormat="1" applyFont="1" applyFill="1" applyBorder="1" applyAlignment="1">
      <alignment horizontal="center" vertical="center"/>
    </xf>
    <xf numFmtId="168" fontId="10" fillId="2" borderId="4" xfId="4" applyNumberFormat="1" applyFont="1" applyFill="1" applyBorder="1" applyAlignment="1">
      <alignment horizontal="right" vertical="center"/>
    </xf>
    <xf numFmtId="168" fontId="10" fillId="2" borderId="5" xfId="4" applyNumberFormat="1" applyFont="1" applyFill="1" applyBorder="1" applyAlignment="1">
      <alignment horizontal="center" vertical="center"/>
    </xf>
    <xf numFmtId="0" fontId="10" fillId="2" borderId="0" xfId="0" applyFont="1" applyFill="1" applyBorder="1"/>
    <xf numFmtId="166" fontId="4" fillId="2" borderId="6" xfId="4" applyNumberFormat="1" applyFont="1" applyFill="1" applyBorder="1" applyAlignment="1">
      <alignment vertical="center"/>
    </xf>
    <xf numFmtId="166" fontId="4" fillId="2" borderId="7" xfId="4" applyNumberFormat="1" applyFont="1" applyFill="1" applyBorder="1" applyAlignment="1">
      <alignment vertical="center"/>
    </xf>
    <xf numFmtId="49" fontId="3" fillId="2" borderId="3" xfId="1" applyNumberFormat="1" applyFont="1" applyFill="1" applyBorder="1" applyAlignment="1">
      <alignment horizontal="center" vertical="center" wrapText="1"/>
    </xf>
    <xf numFmtId="0" fontId="3" fillId="2" borderId="4" xfId="5" applyFont="1" applyFill="1" applyBorder="1" applyAlignment="1">
      <alignment horizontal="left" vertical="center" wrapText="1"/>
    </xf>
    <xf numFmtId="166" fontId="3" fillId="2" borderId="4" xfId="4" applyNumberFormat="1" applyFont="1" applyFill="1" applyBorder="1" applyAlignment="1">
      <alignment vertical="center"/>
    </xf>
    <xf numFmtId="166" fontId="3" fillId="2" borderId="4" xfId="2" applyNumberFormat="1" applyFont="1" applyFill="1" applyBorder="1" applyAlignment="1">
      <alignment vertical="center"/>
    </xf>
    <xf numFmtId="166" fontId="3" fillId="2" borderId="4" xfId="2" applyNumberFormat="1" applyFont="1" applyFill="1" applyBorder="1" applyAlignment="1">
      <alignment horizontal="center" vertical="center"/>
    </xf>
    <xf numFmtId="166" fontId="3" fillId="2" borderId="5" xfId="2" applyNumberFormat="1" applyFont="1" applyFill="1" applyBorder="1" applyAlignment="1">
      <alignment horizontal="center" vertical="center"/>
    </xf>
    <xf numFmtId="168" fontId="5" fillId="2" borderId="0" xfId="0" applyNumberFormat="1" applyFont="1" applyFill="1" applyBorder="1"/>
    <xf numFmtId="0" fontId="8" fillId="2" borderId="0" xfId="3" applyFont="1" applyFill="1" applyBorder="1" applyAlignment="1">
      <alignment vertical="center"/>
    </xf>
    <xf numFmtId="0" fontId="5" fillId="2" borderId="0" xfId="3" applyFont="1" applyFill="1" applyBorder="1" applyAlignment="1">
      <alignment vertical="center"/>
    </xf>
    <xf numFmtId="166" fontId="4" fillId="2" borderId="4" xfId="4" applyNumberFormat="1" applyFont="1" applyFill="1" applyBorder="1" applyAlignment="1">
      <alignment horizontal="center" vertical="center"/>
    </xf>
    <xf numFmtId="43" fontId="4" fillId="2" borderId="0" xfId="2" applyFont="1" applyFill="1" applyBorder="1" applyAlignment="1">
      <alignment horizontal="center"/>
    </xf>
    <xf numFmtId="166" fontId="4" fillId="2" borderId="5" xfId="4" applyNumberFormat="1" applyFont="1" applyFill="1" applyBorder="1" applyAlignment="1">
      <alignment horizontal="center" vertical="center"/>
    </xf>
    <xf numFmtId="43" fontId="5" fillId="2" borderId="0" xfId="0" applyNumberFormat="1" applyFont="1" applyFill="1" applyBorder="1"/>
    <xf numFmtId="168" fontId="10" fillId="2" borderId="5" xfId="4" applyNumberFormat="1" applyFont="1" applyFill="1" applyBorder="1" applyAlignment="1">
      <alignment horizontal="right" vertical="center"/>
    </xf>
    <xf numFmtId="0" fontId="11" fillId="2" borderId="0" xfId="0" applyFont="1" applyFill="1" applyBorder="1"/>
    <xf numFmtId="49" fontId="3" fillId="2" borderId="1" xfId="1" applyNumberFormat="1" applyFont="1" applyFill="1" applyBorder="1" applyAlignment="1">
      <alignment horizontal="center" vertical="center" wrapText="1"/>
    </xf>
    <xf numFmtId="164" fontId="3" fillId="2" borderId="2" xfId="1" applyNumberFormat="1" applyFont="1" applyFill="1" applyBorder="1" applyAlignment="1">
      <alignment horizontal="left" vertical="center" wrapText="1"/>
    </xf>
    <xf numFmtId="166" fontId="3" fillId="2" borderId="2" xfId="4" applyNumberFormat="1" applyFont="1" applyFill="1" applyBorder="1" applyAlignment="1">
      <alignment vertical="center"/>
    </xf>
    <xf numFmtId="166" fontId="3" fillId="2" borderId="2" xfId="2" applyNumberFormat="1" applyFont="1" applyFill="1" applyBorder="1" applyAlignment="1">
      <alignment vertical="center"/>
    </xf>
    <xf numFmtId="166" fontId="3" fillId="2" borderId="2" xfId="2" applyNumberFormat="1" applyFont="1" applyFill="1" applyBorder="1" applyAlignment="1">
      <alignment horizontal="center" vertical="center"/>
    </xf>
    <xf numFmtId="166" fontId="3" fillId="2" borderId="8" xfId="2" applyNumberFormat="1" applyFont="1" applyFill="1" applyBorder="1" applyAlignment="1">
      <alignment horizontal="center" vertical="center"/>
    </xf>
    <xf numFmtId="43" fontId="5" fillId="2" borderId="0" xfId="2" applyFont="1" applyFill="1" applyBorder="1"/>
    <xf numFmtId="0" fontId="5" fillId="2" borderId="5" xfId="0" applyFont="1" applyFill="1" applyBorder="1"/>
    <xf numFmtId="164" fontId="3" fillId="2" borderId="6" xfId="1" applyNumberFormat="1" applyFont="1" applyFill="1" applyBorder="1" applyAlignment="1">
      <alignment horizontal="left" vertical="center" wrapText="1"/>
    </xf>
    <xf numFmtId="166" fontId="3" fillId="2" borderId="6" xfId="4" applyNumberFormat="1" applyFont="1" applyFill="1" applyBorder="1" applyAlignment="1">
      <alignment vertical="center"/>
    </xf>
    <xf numFmtId="166" fontId="3" fillId="2" borderId="6" xfId="2" applyNumberFormat="1" applyFont="1" applyFill="1" applyBorder="1" applyAlignment="1">
      <alignment vertical="center"/>
    </xf>
    <xf numFmtId="166" fontId="3" fillId="2" borderId="6" xfId="2" applyNumberFormat="1" applyFont="1" applyFill="1" applyBorder="1" applyAlignment="1">
      <alignment horizontal="center" vertical="center"/>
    </xf>
    <xf numFmtId="166" fontId="3" fillId="2" borderId="7" xfId="2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/>
    </xf>
    <xf numFmtId="43" fontId="11" fillId="2" borderId="0" xfId="0" applyNumberFormat="1" applyFont="1" applyFill="1" applyBorder="1"/>
    <xf numFmtId="0" fontId="4" fillId="2" borderId="4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164" fontId="4" fillId="2" borderId="2" xfId="2" applyNumberFormat="1" applyFont="1" applyFill="1" applyBorder="1" applyAlignment="1">
      <alignment horizontal="center" vertical="center"/>
    </xf>
    <xf numFmtId="164" fontId="4" fillId="2" borderId="8" xfId="2" applyNumberFormat="1" applyFont="1" applyFill="1" applyBorder="1" applyAlignment="1">
      <alignment horizontal="center" vertical="center"/>
    </xf>
  </cellXfs>
  <cellStyles count="6">
    <cellStyle name="Comma" xfId="2" builtinId="3"/>
    <cellStyle name="Normal" xfId="0" builtinId="0"/>
    <cellStyle name="Normal_Grants quartal" xfId="5"/>
    <cellStyle name="Normal_Transfert" xfId="3"/>
    <cellStyle name="Normal_transfert-08" xfId="4"/>
    <cellStyle name="RowLevel_1" xfId="1" builtinId="1" iLevel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A69"/>
  <sheetViews>
    <sheetView tabSelected="1" topLeftCell="D1" zoomScale="60" zoomScaleNormal="60" workbookViewId="0">
      <selection activeCell="O69" sqref="O69"/>
    </sheetView>
  </sheetViews>
  <sheetFormatPr defaultRowHeight="18.75" x14ac:dyDescent="0.35"/>
  <cols>
    <col min="1" max="1" width="5.85546875" style="4" customWidth="1"/>
    <col min="2" max="2" width="135.28515625" style="37" customWidth="1"/>
    <col min="3" max="3" width="23.85546875" style="37" customWidth="1"/>
    <col min="4" max="4" width="28.85546875" style="37" bestFit="1" customWidth="1"/>
    <col min="5" max="5" width="23.85546875" style="37" customWidth="1"/>
    <col min="6" max="6" width="22" style="4" customWidth="1"/>
    <col min="7" max="7" width="22.5703125" style="4" customWidth="1"/>
    <col min="8" max="8" width="21.140625" style="4" bestFit="1" customWidth="1"/>
    <col min="9" max="9" width="22" style="4" customWidth="1"/>
    <col min="10" max="10" width="27.85546875" style="4" customWidth="1"/>
    <col min="11" max="11" width="21.7109375" style="4" customWidth="1"/>
    <col min="12" max="12" width="23.28515625" style="4" customWidth="1"/>
    <col min="13" max="13" width="21.85546875" style="4" customWidth="1"/>
    <col min="14" max="14" width="23.7109375" style="4" customWidth="1"/>
    <col min="15" max="15" width="22.42578125" style="4" bestFit="1" customWidth="1"/>
    <col min="16" max="16" width="29.140625" style="4" bestFit="1" customWidth="1"/>
    <col min="17" max="17" width="29" style="4" customWidth="1"/>
    <col min="18" max="18" width="20" style="4" hidden="1" customWidth="1"/>
    <col min="19" max="19" width="19.5703125" style="4" customWidth="1"/>
    <col min="20" max="20" width="9.140625" style="4"/>
    <col min="21" max="21" width="13.42578125" style="4" bestFit="1" customWidth="1"/>
    <col min="22" max="23" width="9.140625" style="4"/>
    <col min="24" max="24" width="14" style="4" bestFit="1" customWidth="1"/>
    <col min="25" max="26" width="9.140625" style="4"/>
    <col min="27" max="27" width="15.42578125" style="4" bestFit="1" customWidth="1"/>
    <col min="28" max="256" width="9.140625" style="4"/>
    <col min="257" max="257" width="5.85546875" style="4" customWidth="1"/>
    <col min="258" max="258" width="135.28515625" style="4" customWidth="1"/>
    <col min="259" max="259" width="23.85546875" style="4" customWidth="1"/>
    <col min="260" max="260" width="28.85546875" style="4" bestFit="1" customWidth="1"/>
    <col min="261" max="261" width="23.85546875" style="4" customWidth="1"/>
    <col min="262" max="262" width="22" style="4" customWidth="1"/>
    <col min="263" max="263" width="22.5703125" style="4" customWidth="1"/>
    <col min="264" max="264" width="21.140625" style="4" bestFit="1" customWidth="1"/>
    <col min="265" max="265" width="22" style="4" customWidth="1"/>
    <col min="266" max="266" width="27.85546875" style="4" customWidth="1"/>
    <col min="267" max="267" width="21.7109375" style="4" customWidth="1"/>
    <col min="268" max="268" width="23.7109375" style="4" customWidth="1"/>
    <col min="269" max="269" width="21.85546875" style="4" customWidth="1"/>
    <col min="270" max="270" width="23.7109375" style="4" customWidth="1"/>
    <col min="271" max="271" width="22.42578125" style="4" bestFit="1" customWidth="1"/>
    <col min="272" max="272" width="22.28515625" style="4" bestFit="1" customWidth="1"/>
    <col min="273" max="273" width="21.85546875" style="4" customWidth="1"/>
    <col min="274" max="274" width="0" style="4" hidden="1" customWidth="1"/>
    <col min="275" max="275" width="19.5703125" style="4" customWidth="1"/>
    <col min="276" max="512" width="9.140625" style="4"/>
    <col min="513" max="513" width="5.85546875" style="4" customWidth="1"/>
    <col min="514" max="514" width="135.28515625" style="4" customWidth="1"/>
    <col min="515" max="515" width="23.85546875" style="4" customWidth="1"/>
    <col min="516" max="516" width="28.85546875" style="4" bestFit="1" customWidth="1"/>
    <col min="517" max="517" width="23.85546875" style="4" customWidth="1"/>
    <col min="518" max="518" width="22" style="4" customWidth="1"/>
    <col min="519" max="519" width="22.5703125" style="4" customWidth="1"/>
    <col min="520" max="520" width="21.140625" style="4" bestFit="1" customWidth="1"/>
    <col min="521" max="521" width="22" style="4" customWidth="1"/>
    <col min="522" max="522" width="27.85546875" style="4" customWidth="1"/>
    <col min="523" max="523" width="21.7109375" style="4" customWidth="1"/>
    <col min="524" max="524" width="23.7109375" style="4" customWidth="1"/>
    <col min="525" max="525" width="21.85546875" style="4" customWidth="1"/>
    <col min="526" max="526" width="23.7109375" style="4" customWidth="1"/>
    <col min="527" max="527" width="22.42578125" style="4" bestFit="1" customWidth="1"/>
    <col min="528" max="528" width="22.28515625" style="4" bestFit="1" customWidth="1"/>
    <col min="529" max="529" width="21.85546875" style="4" customWidth="1"/>
    <col min="530" max="530" width="0" style="4" hidden="1" customWidth="1"/>
    <col min="531" max="531" width="19.5703125" style="4" customWidth="1"/>
    <col min="532" max="768" width="9.140625" style="4"/>
    <col min="769" max="769" width="5.85546875" style="4" customWidth="1"/>
    <col min="770" max="770" width="135.28515625" style="4" customWidth="1"/>
    <col min="771" max="771" width="23.85546875" style="4" customWidth="1"/>
    <col min="772" max="772" width="28.85546875" style="4" bestFit="1" customWidth="1"/>
    <col min="773" max="773" width="23.85546875" style="4" customWidth="1"/>
    <col min="774" max="774" width="22" style="4" customWidth="1"/>
    <col min="775" max="775" width="22.5703125" style="4" customWidth="1"/>
    <col min="776" max="776" width="21.140625" style="4" bestFit="1" customWidth="1"/>
    <col min="777" max="777" width="22" style="4" customWidth="1"/>
    <col min="778" max="778" width="27.85546875" style="4" customWidth="1"/>
    <col min="779" max="779" width="21.7109375" style="4" customWidth="1"/>
    <col min="780" max="780" width="23.7109375" style="4" customWidth="1"/>
    <col min="781" max="781" width="21.85546875" style="4" customWidth="1"/>
    <col min="782" max="782" width="23.7109375" style="4" customWidth="1"/>
    <col min="783" max="783" width="22.42578125" style="4" bestFit="1" customWidth="1"/>
    <col min="784" max="784" width="22.28515625" style="4" bestFit="1" customWidth="1"/>
    <col min="785" max="785" width="21.85546875" style="4" customWidth="1"/>
    <col min="786" max="786" width="0" style="4" hidden="1" customWidth="1"/>
    <col min="787" max="787" width="19.5703125" style="4" customWidth="1"/>
    <col min="788" max="1024" width="9.140625" style="4"/>
    <col min="1025" max="1025" width="5.85546875" style="4" customWidth="1"/>
    <col min="1026" max="1026" width="135.28515625" style="4" customWidth="1"/>
    <col min="1027" max="1027" width="23.85546875" style="4" customWidth="1"/>
    <col min="1028" max="1028" width="28.85546875" style="4" bestFit="1" customWidth="1"/>
    <col min="1029" max="1029" width="23.85546875" style="4" customWidth="1"/>
    <col min="1030" max="1030" width="22" style="4" customWidth="1"/>
    <col min="1031" max="1031" width="22.5703125" style="4" customWidth="1"/>
    <col min="1032" max="1032" width="21.140625" style="4" bestFit="1" customWidth="1"/>
    <col min="1033" max="1033" width="22" style="4" customWidth="1"/>
    <col min="1034" max="1034" width="27.85546875" style="4" customWidth="1"/>
    <col min="1035" max="1035" width="21.7109375" style="4" customWidth="1"/>
    <col min="1036" max="1036" width="23.7109375" style="4" customWidth="1"/>
    <col min="1037" max="1037" width="21.85546875" style="4" customWidth="1"/>
    <col min="1038" max="1038" width="23.7109375" style="4" customWidth="1"/>
    <col min="1039" max="1039" width="22.42578125" style="4" bestFit="1" customWidth="1"/>
    <col min="1040" max="1040" width="22.28515625" style="4" bestFit="1" customWidth="1"/>
    <col min="1041" max="1041" width="21.85546875" style="4" customWidth="1"/>
    <col min="1042" max="1042" width="0" style="4" hidden="1" customWidth="1"/>
    <col min="1043" max="1043" width="19.5703125" style="4" customWidth="1"/>
    <col min="1044" max="1280" width="9.140625" style="4"/>
    <col min="1281" max="1281" width="5.85546875" style="4" customWidth="1"/>
    <col min="1282" max="1282" width="135.28515625" style="4" customWidth="1"/>
    <col min="1283" max="1283" width="23.85546875" style="4" customWidth="1"/>
    <col min="1284" max="1284" width="28.85546875" style="4" bestFit="1" customWidth="1"/>
    <col min="1285" max="1285" width="23.85546875" style="4" customWidth="1"/>
    <col min="1286" max="1286" width="22" style="4" customWidth="1"/>
    <col min="1287" max="1287" width="22.5703125" style="4" customWidth="1"/>
    <col min="1288" max="1288" width="21.140625" style="4" bestFit="1" customWidth="1"/>
    <col min="1289" max="1289" width="22" style="4" customWidth="1"/>
    <col min="1290" max="1290" width="27.85546875" style="4" customWidth="1"/>
    <col min="1291" max="1291" width="21.7109375" style="4" customWidth="1"/>
    <col min="1292" max="1292" width="23.7109375" style="4" customWidth="1"/>
    <col min="1293" max="1293" width="21.85546875" style="4" customWidth="1"/>
    <col min="1294" max="1294" width="23.7109375" style="4" customWidth="1"/>
    <col min="1295" max="1295" width="22.42578125" style="4" bestFit="1" customWidth="1"/>
    <col min="1296" max="1296" width="22.28515625" style="4" bestFit="1" customWidth="1"/>
    <col min="1297" max="1297" width="21.85546875" style="4" customWidth="1"/>
    <col min="1298" max="1298" width="0" style="4" hidden="1" customWidth="1"/>
    <col min="1299" max="1299" width="19.5703125" style="4" customWidth="1"/>
    <col min="1300" max="1536" width="9.140625" style="4"/>
    <col min="1537" max="1537" width="5.85546875" style="4" customWidth="1"/>
    <col min="1538" max="1538" width="135.28515625" style="4" customWidth="1"/>
    <col min="1539" max="1539" width="23.85546875" style="4" customWidth="1"/>
    <col min="1540" max="1540" width="28.85546875" style="4" bestFit="1" customWidth="1"/>
    <col min="1541" max="1541" width="23.85546875" style="4" customWidth="1"/>
    <col min="1542" max="1542" width="22" style="4" customWidth="1"/>
    <col min="1543" max="1543" width="22.5703125" style="4" customWidth="1"/>
    <col min="1544" max="1544" width="21.140625" style="4" bestFit="1" customWidth="1"/>
    <col min="1545" max="1545" width="22" style="4" customWidth="1"/>
    <col min="1546" max="1546" width="27.85546875" style="4" customWidth="1"/>
    <col min="1547" max="1547" width="21.7109375" style="4" customWidth="1"/>
    <col min="1548" max="1548" width="23.7109375" style="4" customWidth="1"/>
    <col min="1549" max="1549" width="21.85546875" style="4" customWidth="1"/>
    <col min="1550" max="1550" width="23.7109375" style="4" customWidth="1"/>
    <col min="1551" max="1551" width="22.42578125" style="4" bestFit="1" customWidth="1"/>
    <col min="1552" max="1552" width="22.28515625" style="4" bestFit="1" customWidth="1"/>
    <col min="1553" max="1553" width="21.85546875" style="4" customWidth="1"/>
    <col min="1554" max="1554" width="0" style="4" hidden="1" customWidth="1"/>
    <col min="1555" max="1555" width="19.5703125" style="4" customWidth="1"/>
    <col min="1556" max="1792" width="9.140625" style="4"/>
    <col min="1793" max="1793" width="5.85546875" style="4" customWidth="1"/>
    <col min="1794" max="1794" width="135.28515625" style="4" customWidth="1"/>
    <col min="1795" max="1795" width="23.85546875" style="4" customWidth="1"/>
    <col min="1796" max="1796" width="28.85546875" style="4" bestFit="1" customWidth="1"/>
    <col min="1797" max="1797" width="23.85546875" style="4" customWidth="1"/>
    <col min="1798" max="1798" width="22" style="4" customWidth="1"/>
    <col min="1799" max="1799" width="22.5703125" style="4" customWidth="1"/>
    <col min="1800" max="1800" width="21.140625" style="4" bestFit="1" customWidth="1"/>
    <col min="1801" max="1801" width="22" style="4" customWidth="1"/>
    <col min="1802" max="1802" width="27.85546875" style="4" customWidth="1"/>
    <col min="1803" max="1803" width="21.7109375" style="4" customWidth="1"/>
    <col min="1804" max="1804" width="23.7109375" style="4" customWidth="1"/>
    <col min="1805" max="1805" width="21.85546875" style="4" customWidth="1"/>
    <col min="1806" max="1806" width="23.7109375" style="4" customWidth="1"/>
    <col min="1807" max="1807" width="22.42578125" style="4" bestFit="1" customWidth="1"/>
    <col min="1808" max="1808" width="22.28515625" style="4" bestFit="1" customWidth="1"/>
    <col min="1809" max="1809" width="21.85546875" style="4" customWidth="1"/>
    <col min="1810" max="1810" width="0" style="4" hidden="1" customWidth="1"/>
    <col min="1811" max="1811" width="19.5703125" style="4" customWidth="1"/>
    <col min="1812" max="2048" width="9.140625" style="4"/>
    <col min="2049" max="2049" width="5.85546875" style="4" customWidth="1"/>
    <col min="2050" max="2050" width="135.28515625" style="4" customWidth="1"/>
    <col min="2051" max="2051" width="23.85546875" style="4" customWidth="1"/>
    <col min="2052" max="2052" width="28.85546875" style="4" bestFit="1" customWidth="1"/>
    <col min="2053" max="2053" width="23.85546875" style="4" customWidth="1"/>
    <col min="2054" max="2054" width="22" style="4" customWidth="1"/>
    <col min="2055" max="2055" width="22.5703125" style="4" customWidth="1"/>
    <col min="2056" max="2056" width="21.140625" style="4" bestFit="1" customWidth="1"/>
    <col min="2057" max="2057" width="22" style="4" customWidth="1"/>
    <col min="2058" max="2058" width="27.85546875" style="4" customWidth="1"/>
    <col min="2059" max="2059" width="21.7109375" style="4" customWidth="1"/>
    <col min="2060" max="2060" width="23.7109375" style="4" customWidth="1"/>
    <col min="2061" max="2061" width="21.85546875" style="4" customWidth="1"/>
    <col min="2062" max="2062" width="23.7109375" style="4" customWidth="1"/>
    <col min="2063" max="2063" width="22.42578125" style="4" bestFit="1" customWidth="1"/>
    <col min="2064" max="2064" width="22.28515625" style="4" bestFit="1" customWidth="1"/>
    <col min="2065" max="2065" width="21.85546875" style="4" customWidth="1"/>
    <col min="2066" max="2066" width="0" style="4" hidden="1" customWidth="1"/>
    <col min="2067" max="2067" width="19.5703125" style="4" customWidth="1"/>
    <col min="2068" max="2304" width="9.140625" style="4"/>
    <col min="2305" max="2305" width="5.85546875" style="4" customWidth="1"/>
    <col min="2306" max="2306" width="135.28515625" style="4" customWidth="1"/>
    <col min="2307" max="2307" width="23.85546875" style="4" customWidth="1"/>
    <col min="2308" max="2308" width="28.85546875" style="4" bestFit="1" customWidth="1"/>
    <col min="2309" max="2309" width="23.85546875" style="4" customWidth="1"/>
    <col min="2310" max="2310" width="22" style="4" customWidth="1"/>
    <col min="2311" max="2311" width="22.5703125" style="4" customWidth="1"/>
    <col min="2312" max="2312" width="21.140625" style="4" bestFit="1" customWidth="1"/>
    <col min="2313" max="2313" width="22" style="4" customWidth="1"/>
    <col min="2314" max="2314" width="27.85546875" style="4" customWidth="1"/>
    <col min="2315" max="2315" width="21.7109375" style="4" customWidth="1"/>
    <col min="2316" max="2316" width="23.7109375" style="4" customWidth="1"/>
    <col min="2317" max="2317" width="21.85546875" style="4" customWidth="1"/>
    <col min="2318" max="2318" width="23.7109375" style="4" customWidth="1"/>
    <col min="2319" max="2319" width="22.42578125" style="4" bestFit="1" customWidth="1"/>
    <col min="2320" max="2320" width="22.28515625" style="4" bestFit="1" customWidth="1"/>
    <col min="2321" max="2321" width="21.85546875" style="4" customWidth="1"/>
    <col min="2322" max="2322" width="0" style="4" hidden="1" customWidth="1"/>
    <col min="2323" max="2323" width="19.5703125" style="4" customWidth="1"/>
    <col min="2324" max="2560" width="9.140625" style="4"/>
    <col min="2561" max="2561" width="5.85546875" style="4" customWidth="1"/>
    <col min="2562" max="2562" width="135.28515625" style="4" customWidth="1"/>
    <col min="2563" max="2563" width="23.85546875" style="4" customWidth="1"/>
    <col min="2564" max="2564" width="28.85546875" style="4" bestFit="1" customWidth="1"/>
    <col min="2565" max="2565" width="23.85546875" style="4" customWidth="1"/>
    <col min="2566" max="2566" width="22" style="4" customWidth="1"/>
    <col min="2567" max="2567" width="22.5703125" style="4" customWidth="1"/>
    <col min="2568" max="2568" width="21.140625" style="4" bestFit="1" customWidth="1"/>
    <col min="2569" max="2569" width="22" style="4" customWidth="1"/>
    <col min="2570" max="2570" width="27.85546875" style="4" customWidth="1"/>
    <col min="2571" max="2571" width="21.7109375" style="4" customWidth="1"/>
    <col min="2572" max="2572" width="23.7109375" style="4" customWidth="1"/>
    <col min="2573" max="2573" width="21.85546875" style="4" customWidth="1"/>
    <col min="2574" max="2574" width="23.7109375" style="4" customWidth="1"/>
    <col min="2575" max="2575" width="22.42578125" style="4" bestFit="1" customWidth="1"/>
    <col min="2576" max="2576" width="22.28515625" style="4" bestFit="1" customWidth="1"/>
    <col min="2577" max="2577" width="21.85546875" style="4" customWidth="1"/>
    <col min="2578" max="2578" width="0" style="4" hidden="1" customWidth="1"/>
    <col min="2579" max="2579" width="19.5703125" style="4" customWidth="1"/>
    <col min="2580" max="2816" width="9.140625" style="4"/>
    <col min="2817" max="2817" width="5.85546875" style="4" customWidth="1"/>
    <col min="2818" max="2818" width="135.28515625" style="4" customWidth="1"/>
    <col min="2819" max="2819" width="23.85546875" style="4" customWidth="1"/>
    <col min="2820" max="2820" width="28.85546875" style="4" bestFit="1" customWidth="1"/>
    <col min="2821" max="2821" width="23.85546875" style="4" customWidth="1"/>
    <col min="2822" max="2822" width="22" style="4" customWidth="1"/>
    <col min="2823" max="2823" width="22.5703125" style="4" customWidth="1"/>
    <col min="2824" max="2824" width="21.140625" style="4" bestFit="1" customWidth="1"/>
    <col min="2825" max="2825" width="22" style="4" customWidth="1"/>
    <col min="2826" max="2826" width="27.85546875" style="4" customWidth="1"/>
    <col min="2827" max="2827" width="21.7109375" style="4" customWidth="1"/>
    <col min="2828" max="2828" width="23.7109375" style="4" customWidth="1"/>
    <col min="2829" max="2829" width="21.85546875" style="4" customWidth="1"/>
    <col min="2830" max="2830" width="23.7109375" style="4" customWidth="1"/>
    <col min="2831" max="2831" width="22.42578125" style="4" bestFit="1" customWidth="1"/>
    <col min="2832" max="2832" width="22.28515625" style="4" bestFit="1" customWidth="1"/>
    <col min="2833" max="2833" width="21.85546875" style="4" customWidth="1"/>
    <col min="2834" max="2834" width="0" style="4" hidden="1" customWidth="1"/>
    <col min="2835" max="2835" width="19.5703125" style="4" customWidth="1"/>
    <col min="2836" max="3072" width="9.140625" style="4"/>
    <col min="3073" max="3073" width="5.85546875" style="4" customWidth="1"/>
    <col min="3074" max="3074" width="135.28515625" style="4" customWidth="1"/>
    <col min="3075" max="3075" width="23.85546875" style="4" customWidth="1"/>
    <col min="3076" max="3076" width="28.85546875" style="4" bestFit="1" customWidth="1"/>
    <col min="3077" max="3077" width="23.85546875" style="4" customWidth="1"/>
    <col min="3078" max="3078" width="22" style="4" customWidth="1"/>
    <col min="3079" max="3079" width="22.5703125" style="4" customWidth="1"/>
    <col min="3080" max="3080" width="21.140625" style="4" bestFit="1" customWidth="1"/>
    <col min="3081" max="3081" width="22" style="4" customWidth="1"/>
    <col min="3082" max="3082" width="27.85546875" style="4" customWidth="1"/>
    <col min="3083" max="3083" width="21.7109375" style="4" customWidth="1"/>
    <col min="3084" max="3084" width="23.7109375" style="4" customWidth="1"/>
    <col min="3085" max="3085" width="21.85546875" style="4" customWidth="1"/>
    <col min="3086" max="3086" width="23.7109375" style="4" customWidth="1"/>
    <col min="3087" max="3087" width="22.42578125" style="4" bestFit="1" customWidth="1"/>
    <col min="3088" max="3088" width="22.28515625" style="4" bestFit="1" customWidth="1"/>
    <col min="3089" max="3089" width="21.85546875" style="4" customWidth="1"/>
    <col min="3090" max="3090" width="0" style="4" hidden="1" customWidth="1"/>
    <col min="3091" max="3091" width="19.5703125" style="4" customWidth="1"/>
    <col min="3092" max="3328" width="9.140625" style="4"/>
    <col min="3329" max="3329" width="5.85546875" style="4" customWidth="1"/>
    <col min="3330" max="3330" width="135.28515625" style="4" customWidth="1"/>
    <col min="3331" max="3331" width="23.85546875" style="4" customWidth="1"/>
    <col min="3332" max="3332" width="28.85546875" style="4" bestFit="1" customWidth="1"/>
    <col min="3333" max="3333" width="23.85546875" style="4" customWidth="1"/>
    <col min="3334" max="3334" width="22" style="4" customWidth="1"/>
    <col min="3335" max="3335" width="22.5703125" style="4" customWidth="1"/>
    <col min="3336" max="3336" width="21.140625" style="4" bestFit="1" customWidth="1"/>
    <col min="3337" max="3337" width="22" style="4" customWidth="1"/>
    <col min="3338" max="3338" width="27.85546875" style="4" customWidth="1"/>
    <col min="3339" max="3339" width="21.7109375" style="4" customWidth="1"/>
    <col min="3340" max="3340" width="23.7109375" style="4" customWidth="1"/>
    <col min="3341" max="3341" width="21.85546875" style="4" customWidth="1"/>
    <col min="3342" max="3342" width="23.7109375" style="4" customWidth="1"/>
    <col min="3343" max="3343" width="22.42578125" style="4" bestFit="1" customWidth="1"/>
    <col min="3344" max="3344" width="22.28515625" style="4" bestFit="1" customWidth="1"/>
    <col min="3345" max="3345" width="21.85546875" style="4" customWidth="1"/>
    <col min="3346" max="3346" width="0" style="4" hidden="1" customWidth="1"/>
    <col min="3347" max="3347" width="19.5703125" style="4" customWidth="1"/>
    <col min="3348" max="3584" width="9.140625" style="4"/>
    <col min="3585" max="3585" width="5.85546875" style="4" customWidth="1"/>
    <col min="3586" max="3586" width="135.28515625" style="4" customWidth="1"/>
    <col min="3587" max="3587" width="23.85546875" style="4" customWidth="1"/>
    <col min="3588" max="3588" width="28.85546875" style="4" bestFit="1" customWidth="1"/>
    <col min="3589" max="3589" width="23.85546875" style="4" customWidth="1"/>
    <col min="3590" max="3590" width="22" style="4" customWidth="1"/>
    <col min="3591" max="3591" width="22.5703125" style="4" customWidth="1"/>
    <col min="3592" max="3592" width="21.140625" style="4" bestFit="1" customWidth="1"/>
    <col min="3593" max="3593" width="22" style="4" customWidth="1"/>
    <col min="3594" max="3594" width="27.85546875" style="4" customWidth="1"/>
    <col min="3595" max="3595" width="21.7109375" style="4" customWidth="1"/>
    <col min="3596" max="3596" width="23.7109375" style="4" customWidth="1"/>
    <col min="3597" max="3597" width="21.85546875" style="4" customWidth="1"/>
    <col min="3598" max="3598" width="23.7109375" style="4" customWidth="1"/>
    <col min="3599" max="3599" width="22.42578125" style="4" bestFit="1" customWidth="1"/>
    <col min="3600" max="3600" width="22.28515625" style="4" bestFit="1" customWidth="1"/>
    <col min="3601" max="3601" width="21.85546875" style="4" customWidth="1"/>
    <col min="3602" max="3602" width="0" style="4" hidden="1" customWidth="1"/>
    <col min="3603" max="3603" width="19.5703125" style="4" customWidth="1"/>
    <col min="3604" max="3840" width="9.140625" style="4"/>
    <col min="3841" max="3841" width="5.85546875" style="4" customWidth="1"/>
    <col min="3842" max="3842" width="135.28515625" style="4" customWidth="1"/>
    <col min="3843" max="3843" width="23.85546875" style="4" customWidth="1"/>
    <col min="3844" max="3844" width="28.85546875" style="4" bestFit="1" customWidth="1"/>
    <col min="3845" max="3845" width="23.85546875" style="4" customWidth="1"/>
    <col min="3846" max="3846" width="22" style="4" customWidth="1"/>
    <col min="3847" max="3847" width="22.5703125" style="4" customWidth="1"/>
    <col min="3848" max="3848" width="21.140625" style="4" bestFit="1" customWidth="1"/>
    <col min="3849" max="3849" width="22" style="4" customWidth="1"/>
    <col min="3850" max="3850" width="27.85546875" style="4" customWidth="1"/>
    <col min="3851" max="3851" width="21.7109375" style="4" customWidth="1"/>
    <col min="3852" max="3852" width="23.7109375" style="4" customWidth="1"/>
    <col min="3853" max="3853" width="21.85546875" style="4" customWidth="1"/>
    <col min="3854" max="3854" width="23.7109375" style="4" customWidth="1"/>
    <col min="3855" max="3855" width="22.42578125" style="4" bestFit="1" customWidth="1"/>
    <col min="3856" max="3856" width="22.28515625" style="4" bestFit="1" customWidth="1"/>
    <col min="3857" max="3857" width="21.85546875" style="4" customWidth="1"/>
    <col min="3858" max="3858" width="0" style="4" hidden="1" customWidth="1"/>
    <col min="3859" max="3859" width="19.5703125" style="4" customWidth="1"/>
    <col min="3860" max="4096" width="9.140625" style="4"/>
    <col min="4097" max="4097" width="5.85546875" style="4" customWidth="1"/>
    <col min="4098" max="4098" width="135.28515625" style="4" customWidth="1"/>
    <col min="4099" max="4099" width="23.85546875" style="4" customWidth="1"/>
    <col min="4100" max="4100" width="28.85546875" style="4" bestFit="1" customWidth="1"/>
    <col min="4101" max="4101" width="23.85546875" style="4" customWidth="1"/>
    <col min="4102" max="4102" width="22" style="4" customWidth="1"/>
    <col min="4103" max="4103" width="22.5703125" style="4" customWidth="1"/>
    <col min="4104" max="4104" width="21.140625" style="4" bestFit="1" customWidth="1"/>
    <col min="4105" max="4105" width="22" style="4" customWidth="1"/>
    <col min="4106" max="4106" width="27.85546875" style="4" customWidth="1"/>
    <col min="4107" max="4107" width="21.7109375" style="4" customWidth="1"/>
    <col min="4108" max="4108" width="23.7109375" style="4" customWidth="1"/>
    <col min="4109" max="4109" width="21.85546875" style="4" customWidth="1"/>
    <col min="4110" max="4110" width="23.7109375" style="4" customWidth="1"/>
    <col min="4111" max="4111" width="22.42578125" style="4" bestFit="1" customWidth="1"/>
    <col min="4112" max="4112" width="22.28515625" style="4" bestFit="1" customWidth="1"/>
    <col min="4113" max="4113" width="21.85546875" style="4" customWidth="1"/>
    <col min="4114" max="4114" width="0" style="4" hidden="1" customWidth="1"/>
    <col min="4115" max="4115" width="19.5703125" style="4" customWidth="1"/>
    <col min="4116" max="4352" width="9.140625" style="4"/>
    <col min="4353" max="4353" width="5.85546875" style="4" customWidth="1"/>
    <col min="4354" max="4354" width="135.28515625" style="4" customWidth="1"/>
    <col min="4355" max="4355" width="23.85546875" style="4" customWidth="1"/>
    <col min="4356" max="4356" width="28.85546875" style="4" bestFit="1" customWidth="1"/>
    <col min="4357" max="4357" width="23.85546875" style="4" customWidth="1"/>
    <col min="4358" max="4358" width="22" style="4" customWidth="1"/>
    <col min="4359" max="4359" width="22.5703125" style="4" customWidth="1"/>
    <col min="4360" max="4360" width="21.140625" style="4" bestFit="1" customWidth="1"/>
    <col min="4361" max="4361" width="22" style="4" customWidth="1"/>
    <col min="4362" max="4362" width="27.85546875" style="4" customWidth="1"/>
    <col min="4363" max="4363" width="21.7109375" style="4" customWidth="1"/>
    <col min="4364" max="4364" width="23.7109375" style="4" customWidth="1"/>
    <col min="4365" max="4365" width="21.85546875" style="4" customWidth="1"/>
    <col min="4366" max="4366" width="23.7109375" style="4" customWidth="1"/>
    <col min="4367" max="4367" width="22.42578125" style="4" bestFit="1" customWidth="1"/>
    <col min="4368" max="4368" width="22.28515625" style="4" bestFit="1" customWidth="1"/>
    <col min="4369" max="4369" width="21.85546875" style="4" customWidth="1"/>
    <col min="4370" max="4370" width="0" style="4" hidden="1" customWidth="1"/>
    <col min="4371" max="4371" width="19.5703125" style="4" customWidth="1"/>
    <col min="4372" max="4608" width="9.140625" style="4"/>
    <col min="4609" max="4609" width="5.85546875" style="4" customWidth="1"/>
    <col min="4610" max="4610" width="135.28515625" style="4" customWidth="1"/>
    <col min="4611" max="4611" width="23.85546875" style="4" customWidth="1"/>
    <col min="4612" max="4612" width="28.85546875" style="4" bestFit="1" customWidth="1"/>
    <col min="4613" max="4613" width="23.85546875" style="4" customWidth="1"/>
    <col min="4614" max="4614" width="22" style="4" customWidth="1"/>
    <col min="4615" max="4615" width="22.5703125" style="4" customWidth="1"/>
    <col min="4616" max="4616" width="21.140625" style="4" bestFit="1" customWidth="1"/>
    <col min="4617" max="4617" width="22" style="4" customWidth="1"/>
    <col min="4618" max="4618" width="27.85546875" style="4" customWidth="1"/>
    <col min="4619" max="4619" width="21.7109375" style="4" customWidth="1"/>
    <col min="4620" max="4620" width="23.7109375" style="4" customWidth="1"/>
    <col min="4621" max="4621" width="21.85546875" style="4" customWidth="1"/>
    <col min="4622" max="4622" width="23.7109375" style="4" customWidth="1"/>
    <col min="4623" max="4623" width="22.42578125" style="4" bestFit="1" customWidth="1"/>
    <col min="4624" max="4624" width="22.28515625" style="4" bestFit="1" customWidth="1"/>
    <col min="4625" max="4625" width="21.85546875" style="4" customWidth="1"/>
    <col min="4626" max="4626" width="0" style="4" hidden="1" customWidth="1"/>
    <col min="4627" max="4627" width="19.5703125" style="4" customWidth="1"/>
    <col min="4628" max="4864" width="9.140625" style="4"/>
    <col min="4865" max="4865" width="5.85546875" style="4" customWidth="1"/>
    <col min="4866" max="4866" width="135.28515625" style="4" customWidth="1"/>
    <col min="4867" max="4867" width="23.85546875" style="4" customWidth="1"/>
    <col min="4868" max="4868" width="28.85546875" style="4" bestFit="1" customWidth="1"/>
    <col min="4869" max="4869" width="23.85546875" style="4" customWidth="1"/>
    <col min="4870" max="4870" width="22" style="4" customWidth="1"/>
    <col min="4871" max="4871" width="22.5703125" style="4" customWidth="1"/>
    <col min="4872" max="4872" width="21.140625" style="4" bestFit="1" customWidth="1"/>
    <col min="4873" max="4873" width="22" style="4" customWidth="1"/>
    <col min="4874" max="4874" width="27.85546875" style="4" customWidth="1"/>
    <col min="4875" max="4875" width="21.7109375" style="4" customWidth="1"/>
    <col min="4876" max="4876" width="23.7109375" style="4" customWidth="1"/>
    <col min="4877" max="4877" width="21.85546875" style="4" customWidth="1"/>
    <col min="4878" max="4878" width="23.7109375" style="4" customWidth="1"/>
    <col min="4879" max="4879" width="22.42578125" style="4" bestFit="1" customWidth="1"/>
    <col min="4880" max="4880" width="22.28515625" style="4" bestFit="1" customWidth="1"/>
    <col min="4881" max="4881" width="21.85546875" style="4" customWidth="1"/>
    <col min="4882" max="4882" width="0" style="4" hidden="1" customWidth="1"/>
    <col min="4883" max="4883" width="19.5703125" style="4" customWidth="1"/>
    <col min="4884" max="5120" width="9.140625" style="4"/>
    <col min="5121" max="5121" width="5.85546875" style="4" customWidth="1"/>
    <col min="5122" max="5122" width="135.28515625" style="4" customWidth="1"/>
    <col min="5123" max="5123" width="23.85546875" style="4" customWidth="1"/>
    <col min="5124" max="5124" width="28.85546875" style="4" bestFit="1" customWidth="1"/>
    <col min="5125" max="5125" width="23.85546875" style="4" customWidth="1"/>
    <col min="5126" max="5126" width="22" style="4" customWidth="1"/>
    <col min="5127" max="5127" width="22.5703125" style="4" customWidth="1"/>
    <col min="5128" max="5128" width="21.140625" style="4" bestFit="1" customWidth="1"/>
    <col min="5129" max="5129" width="22" style="4" customWidth="1"/>
    <col min="5130" max="5130" width="27.85546875" style="4" customWidth="1"/>
    <col min="5131" max="5131" width="21.7109375" style="4" customWidth="1"/>
    <col min="5132" max="5132" width="23.7109375" style="4" customWidth="1"/>
    <col min="5133" max="5133" width="21.85546875" style="4" customWidth="1"/>
    <col min="5134" max="5134" width="23.7109375" style="4" customWidth="1"/>
    <col min="5135" max="5135" width="22.42578125" style="4" bestFit="1" customWidth="1"/>
    <col min="5136" max="5136" width="22.28515625" style="4" bestFit="1" customWidth="1"/>
    <col min="5137" max="5137" width="21.85546875" style="4" customWidth="1"/>
    <col min="5138" max="5138" width="0" style="4" hidden="1" customWidth="1"/>
    <col min="5139" max="5139" width="19.5703125" style="4" customWidth="1"/>
    <col min="5140" max="5376" width="9.140625" style="4"/>
    <col min="5377" max="5377" width="5.85546875" style="4" customWidth="1"/>
    <col min="5378" max="5378" width="135.28515625" style="4" customWidth="1"/>
    <col min="5379" max="5379" width="23.85546875" style="4" customWidth="1"/>
    <col min="5380" max="5380" width="28.85546875" style="4" bestFit="1" customWidth="1"/>
    <col min="5381" max="5381" width="23.85546875" style="4" customWidth="1"/>
    <col min="5382" max="5382" width="22" style="4" customWidth="1"/>
    <col min="5383" max="5383" width="22.5703125" style="4" customWidth="1"/>
    <col min="5384" max="5384" width="21.140625" style="4" bestFit="1" customWidth="1"/>
    <col min="5385" max="5385" width="22" style="4" customWidth="1"/>
    <col min="5386" max="5386" width="27.85546875" style="4" customWidth="1"/>
    <col min="5387" max="5387" width="21.7109375" style="4" customWidth="1"/>
    <col min="5388" max="5388" width="23.7109375" style="4" customWidth="1"/>
    <col min="5389" max="5389" width="21.85546875" style="4" customWidth="1"/>
    <col min="5390" max="5390" width="23.7109375" style="4" customWidth="1"/>
    <col min="5391" max="5391" width="22.42578125" style="4" bestFit="1" customWidth="1"/>
    <col min="5392" max="5392" width="22.28515625" style="4" bestFit="1" customWidth="1"/>
    <col min="5393" max="5393" width="21.85546875" style="4" customWidth="1"/>
    <col min="5394" max="5394" width="0" style="4" hidden="1" customWidth="1"/>
    <col min="5395" max="5395" width="19.5703125" style="4" customWidth="1"/>
    <col min="5396" max="5632" width="9.140625" style="4"/>
    <col min="5633" max="5633" width="5.85546875" style="4" customWidth="1"/>
    <col min="5634" max="5634" width="135.28515625" style="4" customWidth="1"/>
    <col min="5635" max="5635" width="23.85546875" style="4" customWidth="1"/>
    <col min="5636" max="5636" width="28.85546875" style="4" bestFit="1" customWidth="1"/>
    <col min="5637" max="5637" width="23.85546875" style="4" customWidth="1"/>
    <col min="5638" max="5638" width="22" style="4" customWidth="1"/>
    <col min="5639" max="5639" width="22.5703125" style="4" customWidth="1"/>
    <col min="5640" max="5640" width="21.140625" style="4" bestFit="1" customWidth="1"/>
    <col min="5641" max="5641" width="22" style="4" customWidth="1"/>
    <col min="5642" max="5642" width="27.85546875" style="4" customWidth="1"/>
    <col min="5643" max="5643" width="21.7109375" style="4" customWidth="1"/>
    <col min="5644" max="5644" width="23.7109375" style="4" customWidth="1"/>
    <col min="5645" max="5645" width="21.85546875" style="4" customWidth="1"/>
    <col min="5646" max="5646" width="23.7109375" style="4" customWidth="1"/>
    <col min="5647" max="5647" width="22.42578125" style="4" bestFit="1" customWidth="1"/>
    <col min="5648" max="5648" width="22.28515625" style="4" bestFit="1" customWidth="1"/>
    <col min="5649" max="5649" width="21.85546875" style="4" customWidth="1"/>
    <col min="5650" max="5650" width="0" style="4" hidden="1" customWidth="1"/>
    <col min="5651" max="5651" width="19.5703125" style="4" customWidth="1"/>
    <col min="5652" max="5888" width="9.140625" style="4"/>
    <col min="5889" max="5889" width="5.85546875" style="4" customWidth="1"/>
    <col min="5890" max="5890" width="135.28515625" style="4" customWidth="1"/>
    <col min="5891" max="5891" width="23.85546875" style="4" customWidth="1"/>
    <col min="5892" max="5892" width="28.85546875" style="4" bestFit="1" customWidth="1"/>
    <col min="5893" max="5893" width="23.85546875" style="4" customWidth="1"/>
    <col min="5894" max="5894" width="22" style="4" customWidth="1"/>
    <col min="5895" max="5895" width="22.5703125" style="4" customWidth="1"/>
    <col min="5896" max="5896" width="21.140625" style="4" bestFit="1" customWidth="1"/>
    <col min="5897" max="5897" width="22" style="4" customWidth="1"/>
    <col min="5898" max="5898" width="27.85546875" style="4" customWidth="1"/>
    <col min="5899" max="5899" width="21.7109375" style="4" customWidth="1"/>
    <col min="5900" max="5900" width="23.7109375" style="4" customWidth="1"/>
    <col min="5901" max="5901" width="21.85546875" style="4" customWidth="1"/>
    <col min="5902" max="5902" width="23.7109375" style="4" customWidth="1"/>
    <col min="5903" max="5903" width="22.42578125" style="4" bestFit="1" customWidth="1"/>
    <col min="5904" max="5904" width="22.28515625" style="4" bestFit="1" customWidth="1"/>
    <col min="5905" max="5905" width="21.85546875" style="4" customWidth="1"/>
    <col min="5906" max="5906" width="0" style="4" hidden="1" customWidth="1"/>
    <col min="5907" max="5907" width="19.5703125" style="4" customWidth="1"/>
    <col min="5908" max="6144" width="9.140625" style="4"/>
    <col min="6145" max="6145" width="5.85546875" style="4" customWidth="1"/>
    <col min="6146" max="6146" width="135.28515625" style="4" customWidth="1"/>
    <col min="6147" max="6147" width="23.85546875" style="4" customWidth="1"/>
    <col min="6148" max="6148" width="28.85546875" style="4" bestFit="1" customWidth="1"/>
    <col min="6149" max="6149" width="23.85546875" style="4" customWidth="1"/>
    <col min="6150" max="6150" width="22" style="4" customWidth="1"/>
    <col min="6151" max="6151" width="22.5703125" style="4" customWidth="1"/>
    <col min="6152" max="6152" width="21.140625" style="4" bestFit="1" customWidth="1"/>
    <col min="6153" max="6153" width="22" style="4" customWidth="1"/>
    <col min="6154" max="6154" width="27.85546875" style="4" customWidth="1"/>
    <col min="6155" max="6155" width="21.7109375" style="4" customWidth="1"/>
    <col min="6156" max="6156" width="23.7109375" style="4" customWidth="1"/>
    <col min="6157" max="6157" width="21.85546875" style="4" customWidth="1"/>
    <col min="6158" max="6158" width="23.7109375" style="4" customWidth="1"/>
    <col min="6159" max="6159" width="22.42578125" style="4" bestFit="1" customWidth="1"/>
    <col min="6160" max="6160" width="22.28515625" style="4" bestFit="1" customWidth="1"/>
    <col min="6161" max="6161" width="21.85546875" style="4" customWidth="1"/>
    <col min="6162" max="6162" width="0" style="4" hidden="1" customWidth="1"/>
    <col min="6163" max="6163" width="19.5703125" style="4" customWidth="1"/>
    <col min="6164" max="6400" width="9.140625" style="4"/>
    <col min="6401" max="6401" width="5.85546875" style="4" customWidth="1"/>
    <col min="6402" max="6402" width="135.28515625" style="4" customWidth="1"/>
    <col min="6403" max="6403" width="23.85546875" style="4" customWidth="1"/>
    <col min="6404" max="6404" width="28.85546875" style="4" bestFit="1" customWidth="1"/>
    <col min="6405" max="6405" width="23.85546875" style="4" customWidth="1"/>
    <col min="6406" max="6406" width="22" style="4" customWidth="1"/>
    <col min="6407" max="6407" width="22.5703125" style="4" customWidth="1"/>
    <col min="6408" max="6408" width="21.140625" style="4" bestFit="1" customWidth="1"/>
    <col min="6409" max="6409" width="22" style="4" customWidth="1"/>
    <col min="6410" max="6410" width="27.85546875" style="4" customWidth="1"/>
    <col min="6411" max="6411" width="21.7109375" style="4" customWidth="1"/>
    <col min="6412" max="6412" width="23.7109375" style="4" customWidth="1"/>
    <col min="6413" max="6413" width="21.85546875" style="4" customWidth="1"/>
    <col min="6414" max="6414" width="23.7109375" style="4" customWidth="1"/>
    <col min="6415" max="6415" width="22.42578125" style="4" bestFit="1" customWidth="1"/>
    <col min="6416" max="6416" width="22.28515625" style="4" bestFit="1" customWidth="1"/>
    <col min="6417" max="6417" width="21.85546875" style="4" customWidth="1"/>
    <col min="6418" max="6418" width="0" style="4" hidden="1" customWidth="1"/>
    <col min="6419" max="6419" width="19.5703125" style="4" customWidth="1"/>
    <col min="6420" max="6656" width="9.140625" style="4"/>
    <col min="6657" max="6657" width="5.85546875" style="4" customWidth="1"/>
    <col min="6658" max="6658" width="135.28515625" style="4" customWidth="1"/>
    <col min="6659" max="6659" width="23.85546875" style="4" customWidth="1"/>
    <col min="6660" max="6660" width="28.85546875" style="4" bestFit="1" customWidth="1"/>
    <col min="6661" max="6661" width="23.85546875" style="4" customWidth="1"/>
    <col min="6662" max="6662" width="22" style="4" customWidth="1"/>
    <col min="6663" max="6663" width="22.5703125" style="4" customWidth="1"/>
    <col min="6664" max="6664" width="21.140625" style="4" bestFit="1" customWidth="1"/>
    <col min="6665" max="6665" width="22" style="4" customWidth="1"/>
    <col min="6666" max="6666" width="27.85546875" style="4" customWidth="1"/>
    <col min="6667" max="6667" width="21.7109375" style="4" customWidth="1"/>
    <col min="6668" max="6668" width="23.7109375" style="4" customWidth="1"/>
    <col min="6669" max="6669" width="21.85546875" style="4" customWidth="1"/>
    <col min="6670" max="6670" width="23.7109375" style="4" customWidth="1"/>
    <col min="6671" max="6671" width="22.42578125" style="4" bestFit="1" customWidth="1"/>
    <col min="6672" max="6672" width="22.28515625" style="4" bestFit="1" customWidth="1"/>
    <col min="6673" max="6673" width="21.85546875" style="4" customWidth="1"/>
    <col min="6674" max="6674" width="0" style="4" hidden="1" customWidth="1"/>
    <col min="6675" max="6675" width="19.5703125" style="4" customWidth="1"/>
    <col min="6676" max="6912" width="9.140625" style="4"/>
    <col min="6913" max="6913" width="5.85546875" style="4" customWidth="1"/>
    <col min="6914" max="6914" width="135.28515625" style="4" customWidth="1"/>
    <col min="6915" max="6915" width="23.85546875" style="4" customWidth="1"/>
    <col min="6916" max="6916" width="28.85546875" style="4" bestFit="1" customWidth="1"/>
    <col min="6917" max="6917" width="23.85546875" style="4" customWidth="1"/>
    <col min="6918" max="6918" width="22" style="4" customWidth="1"/>
    <col min="6919" max="6919" width="22.5703125" style="4" customWidth="1"/>
    <col min="6920" max="6920" width="21.140625" style="4" bestFit="1" customWidth="1"/>
    <col min="6921" max="6921" width="22" style="4" customWidth="1"/>
    <col min="6922" max="6922" width="27.85546875" style="4" customWidth="1"/>
    <col min="6923" max="6923" width="21.7109375" style="4" customWidth="1"/>
    <col min="6924" max="6924" width="23.7109375" style="4" customWidth="1"/>
    <col min="6925" max="6925" width="21.85546875" style="4" customWidth="1"/>
    <col min="6926" max="6926" width="23.7109375" style="4" customWidth="1"/>
    <col min="6927" max="6927" width="22.42578125" style="4" bestFit="1" customWidth="1"/>
    <col min="6928" max="6928" width="22.28515625" style="4" bestFit="1" customWidth="1"/>
    <col min="6929" max="6929" width="21.85546875" style="4" customWidth="1"/>
    <col min="6930" max="6930" width="0" style="4" hidden="1" customWidth="1"/>
    <col min="6931" max="6931" width="19.5703125" style="4" customWidth="1"/>
    <col min="6932" max="7168" width="9.140625" style="4"/>
    <col min="7169" max="7169" width="5.85546875" style="4" customWidth="1"/>
    <col min="7170" max="7170" width="135.28515625" style="4" customWidth="1"/>
    <col min="7171" max="7171" width="23.85546875" style="4" customWidth="1"/>
    <col min="7172" max="7172" width="28.85546875" style="4" bestFit="1" customWidth="1"/>
    <col min="7173" max="7173" width="23.85546875" style="4" customWidth="1"/>
    <col min="7174" max="7174" width="22" style="4" customWidth="1"/>
    <col min="7175" max="7175" width="22.5703125" style="4" customWidth="1"/>
    <col min="7176" max="7176" width="21.140625" style="4" bestFit="1" customWidth="1"/>
    <col min="7177" max="7177" width="22" style="4" customWidth="1"/>
    <col min="7178" max="7178" width="27.85546875" style="4" customWidth="1"/>
    <col min="7179" max="7179" width="21.7109375" style="4" customWidth="1"/>
    <col min="7180" max="7180" width="23.7109375" style="4" customWidth="1"/>
    <col min="7181" max="7181" width="21.85546875" style="4" customWidth="1"/>
    <col min="7182" max="7182" width="23.7109375" style="4" customWidth="1"/>
    <col min="7183" max="7183" width="22.42578125" style="4" bestFit="1" customWidth="1"/>
    <col min="7184" max="7184" width="22.28515625" style="4" bestFit="1" customWidth="1"/>
    <col min="7185" max="7185" width="21.85546875" style="4" customWidth="1"/>
    <col min="7186" max="7186" width="0" style="4" hidden="1" customWidth="1"/>
    <col min="7187" max="7187" width="19.5703125" style="4" customWidth="1"/>
    <col min="7188" max="7424" width="9.140625" style="4"/>
    <col min="7425" max="7425" width="5.85546875" style="4" customWidth="1"/>
    <col min="7426" max="7426" width="135.28515625" style="4" customWidth="1"/>
    <col min="7427" max="7427" width="23.85546875" style="4" customWidth="1"/>
    <col min="7428" max="7428" width="28.85546875" style="4" bestFit="1" customWidth="1"/>
    <col min="7429" max="7429" width="23.85546875" style="4" customWidth="1"/>
    <col min="7430" max="7430" width="22" style="4" customWidth="1"/>
    <col min="7431" max="7431" width="22.5703125" style="4" customWidth="1"/>
    <col min="7432" max="7432" width="21.140625" style="4" bestFit="1" customWidth="1"/>
    <col min="7433" max="7433" width="22" style="4" customWidth="1"/>
    <col min="7434" max="7434" width="27.85546875" style="4" customWidth="1"/>
    <col min="7435" max="7435" width="21.7109375" style="4" customWidth="1"/>
    <col min="7436" max="7436" width="23.7109375" style="4" customWidth="1"/>
    <col min="7437" max="7437" width="21.85546875" style="4" customWidth="1"/>
    <col min="7438" max="7438" width="23.7109375" style="4" customWidth="1"/>
    <col min="7439" max="7439" width="22.42578125" style="4" bestFit="1" customWidth="1"/>
    <col min="7440" max="7440" width="22.28515625" style="4" bestFit="1" customWidth="1"/>
    <col min="7441" max="7441" width="21.85546875" style="4" customWidth="1"/>
    <col min="7442" max="7442" width="0" style="4" hidden="1" customWidth="1"/>
    <col min="7443" max="7443" width="19.5703125" style="4" customWidth="1"/>
    <col min="7444" max="7680" width="9.140625" style="4"/>
    <col min="7681" max="7681" width="5.85546875" style="4" customWidth="1"/>
    <col min="7682" max="7682" width="135.28515625" style="4" customWidth="1"/>
    <col min="7683" max="7683" width="23.85546875" style="4" customWidth="1"/>
    <col min="7684" max="7684" width="28.85546875" style="4" bestFit="1" customWidth="1"/>
    <col min="7685" max="7685" width="23.85546875" style="4" customWidth="1"/>
    <col min="7686" max="7686" width="22" style="4" customWidth="1"/>
    <col min="7687" max="7687" width="22.5703125" style="4" customWidth="1"/>
    <col min="7688" max="7688" width="21.140625" style="4" bestFit="1" customWidth="1"/>
    <col min="7689" max="7689" width="22" style="4" customWidth="1"/>
    <col min="7690" max="7690" width="27.85546875" style="4" customWidth="1"/>
    <col min="7691" max="7691" width="21.7109375" style="4" customWidth="1"/>
    <col min="7692" max="7692" width="23.7109375" style="4" customWidth="1"/>
    <col min="7693" max="7693" width="21.85546875" style="4" customWidth="1"/>
    <col min="7694" max="7694" width="23.7109375" style="4" customWidth="1"/>
    <col min="7695" max="7695" width="22.42578125" style="4" bestFit="1" customWidth="1"/>
    <col min="7696" max="7696" width="22.28515625" style="4" bestFit="1" customWidth="1"/>
    <col min="7697" max="7697" width="21.85546875" style="4" customWidth="1"/>
    <col min="7698" max="7698" width="0" style="4" hidden="1" customWidth="1"/>
    <col min="7699" max="7699" width="19.5703125" style="4" customWidth="1"/>
    <col min="7700" max="7936" width="9.140625" style="4"/>
    <col min="7937" max="7937" width="5.85546875" style="4" customWidth="1"/>
    <col min="7938" max="7938" width="135.28515625" style="4" customWidth="1"/>
    <col min="7939" max="7939" width="23.85546875" style="4" customWidth="1"/>
    <col min="7940" max="7940" width="28.85546875" style="4" bestFit="1" customWidth="1"/>
    <col min="7941" max="7941" width="23.85546875" style="4" customWidth="1"/>
    <col min="7942" max="7942" width="22" style="4" customWidth="1"/>
    <col min="7943" max="7943" width="22.5703125" style="4" customWidth="1"/>
    <col min="7944" max="7944" width="21.140625" style="4" bestFit="1" customWidth="1"/>
    <col min="7945" max="7945" width="22" style="4" customWidth="1"/>
    <col min="7946" max="7946" width="27.85546875" style="4" customWidth="1"/>
    <col min="7947" max="7947" width="21.7109375" style="4" customWidth="1"/>
    <col min="7948" max="7948" width="23.7109375" style="4" customWidth="1"/>
    <col min="7949" max="7949" width="21.85546875" style="4" customWidth="1"/>
    <col min="7950" max="7950" width="23.7109375" style="4" customWidth="1"/>
    <col min="7951" max="7951" width="22.42578125" style="4" bestFit="1" customWidth="1"/>
    <col min="7952" max="7952" width="22.28515625" style="4" bestFit="1" customWidth="1"/>
    <col min="7953" max="7953" width="21.85546875" style="4" customWidth="1"/>
    <col min="7954" max="7954" width="0" style="4" hidden="1" customWidth="1"/>
    <col min="7955" max="7955" width="19.5703125" style="4" customWidth="1"/>
    <col min="7956" max="8192" width="9.140625" style="4"/>
    <col min="8193" max="8193" width="5.85546875" style="4" customWidth="1"/>
    <col min="8194" max="8194" width="135.28515625" style="4" customWidth="1"/>
    <col min="8195" max="8195" width="23.85546875" style="4" customWidth="1"/>
    <col min="8196" max="8196" width="28.85546875" style="4" bestFit="1" customWidth="1"/>
    <col min="8197" max="8197" width="23.85546875" style="4" customWidth="1"/>
    <col min="8198" max="8198" width="22" style="4" customWidth="1"/>
    <col min="8199" max="8199" width="22.5703125" style="4" customWidth="1"/>
    <col min="8200" max="8200" width="21.140625" style="4" bestFit="1" customWidth="1"/>
    <col min="8201" max="8201" width="22" style="4" customWidth="1"/>
    <col min="8202" max="8202" width="27.85546875" style="4" customWidth="1"/>
    <col min="8203" max="8203" width="21.7109375" style="4" customWidth="1"/>
    <col min="8204" max="8204" width="23.7109375" style="4" customWidth="1"/>
    <col min="8205" max="8205" width="21.85546875" style="4" customWidth="1"/>
    <col min="8206" max="8206" width="23.7109375" style="4" customWidth="1"/>
    <col min="8207" max="8207" width="22.42578125" style="4" bestFit="1" customWidth="1"/>
    <col min="8208" max="8208" width="22.28515625" style="4" bestFit="1" customWidth="1"/>
    <col min="8209" max="8209" width="21.85546875" style="4" customWidth="1"/>
    <col min="8210" max="8210" width="0" style="4" hidden="1" customWidth="1"/>
    <col min="8211" max="8211" width="19.5703125" style="4" customWidth="1"/>
    <col min="8212" max="8448" width="9.140625" style="4"/>
    <col min="8449" max="8449" width="5.85546875" style="4" customWidth="1"/>
    <col min="8450" max="8450" width="135.28515625" style="4" customWidth="1"/>
    <col min="8451" max="8451" width="23.85546875" style="4" customWidth="1"/>
    <col min="8452" max="8452" width="28.85546875" style="4" bestFit="1" customWidth="1"/>
    <col min="8453" max="8453" width="23.85546875" style="4" customWidth="1"/>
    <col min="8454" max="8454" width="22" style="4" customWidth="1"/>
    <col min="8455" max="8455" width="22.5703125" style="4" customWidth="1"/>
    <col min="8456" max="8456" width="21.140625" style="4" bestFit="1" customWidth="1"/>
    <col min="8457" max="8457" width="22" style="4" customWidth="1"/>
    <col min="8458" max="8458" width="27.85546875" style="4" customWidth="1"/>
    <col min="8459" max="8459" width="21.7109375" style="4" customWidth="1"/>
    <col min="8460" max="8460" width="23.7109375" style="4" customWidth="1"/>
    <col min="8461" max="8461" width="21.85546875" style="4" customWidth="1"/>
    <col min="8462" max="8462" width="23.7109375" style="4" customWidth="1"/>
    <col min="8463" max="8463" width="22.42578125" style="4" bestFit="1" customWidth="1"/>
    <col min="8464" max="8464" width="22.28515625" style="4" bestFit="1" customWidth="1"/>
    <col min="8465" max="8465" width="21.85546875" style="4" customWidth="1"/>
    <col min="8466" max="8466" width="0" style="4" hidden="1" customWidth="1"/>
    <col min="8467" max="8467" width="19.5703125" style="4" customWidth="1"/>
    <col min="8468" max="8704" width="9.140625" style="4"/>
    <col min="8705" max="8705" width="5.85546875" style="4" customWidth="1"/>
    <col min="8706" max="8706" width="135.28515625" style="4" customWidth="1"/>
    <col min="8707" max="8707" width="23.85546875" style="4" customWidth="1"/>
    <col min="8708" max="8708" width="28.85546875" style="4" bestFit="1" customWidth="1"/>
    <col min="8709" max="8709" width="23.85546875" style="4" customWidth="1"/>
    <col min="8710" max="8710" width="22" style="4" customWidth="1"/>
    <col min="8711" max="8711" width="22.5703125" style="4" customWidth="1"/>
    <col min="8712" max="8712" width="21.140625" style="4" bestFit="1" customWidth="1"/>
    <col min="8713" max="8713" width="22" style="4" customWidth="1"/>
    <col min="8714" max="8714" width="27.85546875" style="4" customWidth="1"/>
    <col min="8715" max="8715" width="21.7109375" style="4" customWidth="1"/>
    <col min="8716" max="8716" width="23.7109375" style="4" customWidth="1"/>
    <col min="8717" max="8717" width="21.85546875" style="4" customWidth="1"/>
    <col min="8718" max="8718" width="23.7109375" style="4" customWidth="1"/>
    <col min="8719" max="8719" width="22.42578125" style="4" bestFit="1" customWidth="1"/>
    <col min="8720" max="8720" width="22.28515625" style="4" bestFit="1" customWidth="1"/>
    <col min="8721" max="8721" width="21.85546875" style="4" customWidth="1"/>
    <col min="8722" max="8722" width="0" style="4" hidden="1" customWidth="1"/>
    <col min="8723" max="8723" width="19.5703125" style="4" customWidth="1"/>
    <col min="8724" max="8960" width="9.140625" style="4"/>
    <col min="8961" max="8961" width="5.85546875" style="4" customWidth="1"/>
    <col min="8962" max="8962" width="135.28515625" style="4" customWidth="1"/>
    <col min="8963" max="8963" width="23.85546875" style="4" customWidth="1"/>
    <col min="8964" max="8964" width="28.85546875" style="4" bestFit="1" customWidth="1"/>
    <col min="8965" max="8965" width="23.85546875" style="4" customWidth="1"/>
    <col min="8966" max="8966" width="22" style="4" customWidth="1"/>
    <col min="8967" max="8967" width="22.5703125" style="4" customWidth="1"/>
    <col min="8968" max="8968" width="21.140625" style="4" bestFit="1" customWidth="1"/>
    <col min="8969" max="8969" width="22" style="4" customWidth="1"/>
    <col min="8970" max="8970" width="27.85546875" style="4" customWidth="1"/>
    <col min="8971" max="8971" width="21.7109375" style="4" customWidth="1"/>
    <col min="8972" max="8972" width="23.7109375" style="4" customWidth="1"/>
    <col min="8973" max="8973" width="21.85546875" style="4" customWidth="1"/>
    <col min="8974" max="8974" width="23.7109375" style="4" customWidth="1"/>
    <col min="8975" max="8975" width="22.42578125" style="4" bestFit="1" customWidth="1"/>
    <col min="8976" max="8976" width="22.28515625" style="4" bestFit="1" customWidth="1"/>
    <col min="8977" max="8977" width="21.85546875" style="4" customWidth="1"/>
    <col min="8978" max="8978" width="0" style="4" hidden="1" customWidth="1"/>
    <col min="8979" max="8979" width="19.5703125" style="4" customWidth="1"/>
    <col min="8980" max="9216" width="9.140625" style="4"/>
    <col min="9217" max="9217" width="5.85546875" style="4" customWidth="1"/>
    <col min="9218" max="9218" width="135.28515625" style="4" customWidth="1"/>
    <col min="9219" max="9219" width="23.85546875" style="4" customWidth="1"/>
    <col min="9220" max="9220" width="28.85546875" style="4" bestFit="1" customWidth="1"/>
    <col min="9221" max="9221" width="23.85546875" style="4" customWidth="1"/>
    <col min="9222" max="9222" width="22" style="4" customWidth="1"/>
    <col min="9223" max="9223" width="22.5703125" style="4" customWidth="1"/>
    <col min="9224" max="9224" width="21.140625" style="4" bestFit="1" customWidth="1"/>
    <col min="9225" max="9225" width="22" style="4" customWidth="1"/>
    <col min="9226" max="9226" width="27.85546875" style="4" customWidth="1"/>
    <col min="9227" max="9227" width="21.7109375" style="4" customWidth="1"/>
    <col min="9228" max="9228" width="23.7109375" style="4" customWidth="1"/>
    <col min="9229" max="9229" width="21.85546875" style="4" customWidth="1"/>
    <col min="9230" max="9230" width="23.7109375" style="4" customWidth="1"/>
    <col min="9231" max="9231" width="22.42578125" style="4" bestFit="1" customWidth="1"/>
    <col min="9232" max="9232" width="22.28515625" style="4" bestFit="1" customWidth="1"/>
    <col min="9233" max="9233" width="21.85546875" style="4" customWidth="1"/>
    <col min="9234" max="9234" width="0" style="4" hidden="1" customWidth="1"/>
    <col min="9235" max="9235" width="19.5703125" style="4" customWidth="1"/>
    <col min="9236" max="9472" width="9.140625" style="4"/>
    <col min="9473" max="9473" width="5.85546875" style="4" customWidth="1"/>
    <col min="9474" max="9474" width="135.28515625" style="4" customWidth="1"/>
    <col min="9475" max="9475" width="23.85546875" style="4" customWidth="1"/>
    <col min="9476" max="9476" width="28.85546875" style="4" bestFit="1" customWidth="1"/>
    <col min="9477" max="9477" width="23.85546875" style="4" customWidth="1"/>
    <col min="9478" max="9478" width="22" style="4" customWidth="1"/>
    <col min="9479" max="9479" width="22.5703125" style="4" customWidth="1"/>
    <col min="9480" max="9480" width="21.140625" style="4" bestFit="1" customWidth="1"/>
    <col min="9481" max="9481" width="22" style="4" customWidth="1"/>
    <col min="9482" max="9482" width="27.85546875" style="4" customWidth="1"/>
    <col min="9483" max="9483" width="21.7109375" style="4" customWidth="1"/>
    <col min="9484" max="9484" width="23.7109375" style="4" customWidth="1"/>
    <col min="9485" max="9485" width="21.85546875" style="4" customWidth="1"/>
    <col min="9486" max="9486" width="23.7109375" style="4" customWidth="1"/>
    <col min="9487" max="9487" width="22.42578125" style="4" bestFit="1" customWidth="1"/>
    <col min="9488" max="9488" width="22.28515625" style="4" bestFit="1" customWidth="1"/>
    <col min="9489" max="9489" width="21.85546875" style="4" customWidth="1"/>
    <col min="9490" max="9490" width="0" style="4" hidden="1" customWidth="1"/>
    <col min="9491" max="9491" width="19.5703125" style="4" customWidth="1"/>
    <col min="9492" max="9728" width="9.140625" style="4"/>
    <col min="9729" max="9729" width="5.85546875" style="4" customWidth="1"/>
    <col min="9730" max="9730" width="135.28515625" style="4" customWidth="1"/>
    <col min="9731" max="9731" width="23.85546875" style="4" customWidth="1"/>
    <col min="9732" max="9732" width="28.85546875" style="4" bestFit="1" customWidth="1"/>
    <col min="9733" max="9733" width="23.85546875" style="4" customWidth="1"/>
    <col min="9734" max="9734" width="22" style="4" customWidth="1"/>
    <col min="9735" max="9735" width="22.5703125" style="4" customWidth="1"/>
    <col min="9736" max="9736" width="21.140625" style="4" bestFit="1" customWidth="1"/>
    <col min="9737" max="9737" width="22" style="4" customWidth="1"/>
    <col min="9738" max="9738" width="27.85546875" style="4" customWidth="1"/>
    <col min="9739" max="9739" width="21.7109375" style="4" customWidth="1"/>
    <col min="9740" max="9740" width="23.7109375" style="4" customWidth="1"/>
    <col min="9741" max="9741" width="21.85546875" style="4" customWidth="1"/>
    <col min="9742" max="9742" width="23.7109375" style="4" customWidth="1"/>
    <col min="9743" max="9743" width="22.42578125" style="4" bestFit="1" customWidth="1"/>
    <col min="9744" max="9744" width="22.28515625" style="4" bestFit="1" customWidth="1"/>
    <col min="9745" max="9745" width="21.85546875" style="4" customWidth="1"/>
    <col min="9746" max="9746" width="0" style="4" hidden="1" customWidth="1"/>
    <col min="9747" max="9747" width="19.5703125" style="4" customWidth="1"/>
    <col min="9748" max="9984" width="9.140625" style="4"/>
    <col min="9985" max="9985" width="5.85546875" style="4" customWidth="1"/>
    <col min="9986" max="9986" width="135.28515625" style="4" customWidth="1"/>
    <col min="9987" max="9987" width="23.85546875" style="4" customWidth="1"/>
    <col min="9988" max="9988" width="28.85546875" style="4" bestFit="1" customWidth="1"/>
    <col min="9989" max="9989" width="23.85546875" style="4" customWidth="1"/>
    <col min="9990" max="9990" width="22" style="4" customWidth="1"/>
    <col min="9991" max="9991" width="22.5703125" style="4" customWidth="1"/>
    <col min="9992" max="9992" width="21.140625" style="4" bestFit="1" customWidth="1"/>
    <col min="9993" max="9993" width="22" style="4" customWidth="1"/>
    <col min="9994" max="9994" width="27.85546875" style="4" customWidth="1"/>
    <col min="9995" max="9995" width="21.7109375" style="4" customWidth="1"/>
    <col min="9996" max="9996" width="23.7109375" style="4" customWidth="1"/>
    <col min="9997" max="9997" width="21.85546875" style="4" customWidth="1"/>
    <col min="9998" max="9998" width="23.7109375" style="4" customWidth="1"/>
    <col min="9999" max="9999" width="22.42578125" style="4" bestFit="1" customWidth="1"/>
    <col min="10000" max="10000" width="22.28515625" style="4" bestFit="1" customWidth="1"/>
    <col min="10001" max="10001" width="21.85546875" style="4" customWidth="1"/>
    <col min="10002" max="10002" width="0" style="4" hidden="1" customWidth="1"/>
    <col min="10003" max="10003" width="19.5703125" style="4" customWidth="1"/>
    <col min="10004" max="10240" width="9.140625" style="4"/>
    <col min="10241" max="10241" width="5.85546875" style="4" customWidth="1"/>
    <col min="10242" max="10242" width="135.28515625" style="4" customWidth="1"/>
    <col min="10243" max="10243" width="23.85546875" style="4" customWidth="1"/>
    <col min="10244" max="10244" width="28.85546875" style="4" bestFit="1" customWidth="1"/>
    <col min="10245" max="10245" width="23.85546875" style="4" customWidth="1"/>
    <col min="10246" max="10246" width="22" style="4" customWidth="1"/>
    <col min="10247" max="10247" width="22.5703125" style="4" customWidth="1"/>
    <col min="10248" max="10248" width="21.140625" style="4" bestFit="1" customWidth="1"/>
    <col min="10249" max="10249" width="22" style="4" customWidth="1"/>
    <col min="10250" max="10250" width="27.85546875" style="4" customWidth="1"/>
    <col min="10251" max="10251" width="21.7109375" style="4" customWidth="1"/>
    <col min="10252" max="10252" width="23.7109375" style="4" customWidth="1"/>
    <col min="10253" max="10253" width="21.85546875" style="4" customWidth="1"/>
    <col min="10254" max="10254" width="23.7109375" style="4" customWidth="1"/>
    <col min="10255" max="10255" width="22.42578125" style="4" bestFit="1" customWidth="1"/>
    <col min="10256" max="10256" width="22.28515625" style="4" bestFit="1" customWidth="1"/>
    <col min="10257" max="10257" width="21.85546875" style="4" customWidth="1"/>
    <col min="10258" max="10258" width="0" style="4" hidden="1" customWidth="1"/>
    <col min="10259" max="10259" width="19.5703125" style="4" customWidth="1"/>
    <col min="10260" max="10496" width="9.140625" style="4"/>
    <col min="10497" max="10497" width="5.85546875" style="4" customWidth="1"/>
    <col min="10498" max="10498" width="135.28515625" style="4" customWidth="1"/>
    <col min="10499" max="10499" width="23.85546875" style="4" customWidth="1"/>
    <col min="10500" max="10500" width="28.85546875" style="4" bestFit="1" customWidth="1"/>
    <col min="10501" max="10501" width="23.85546875" style="4" customWidth="1"/>
    <col min="10502" max="10502" width="22" style="4" customWidth="1"/>
    <col min="10503" max="10503" width="22.5703125" style="4" customWidth="1"/>
    <col min="10504" max="10504" width="21.140625" style="4" bestFit="1" customWidth="1"/>
    <col min="10505" max="10505" width="22" style="4" customWidth="1"/>
    <col min="10506" max="10506" width="27.85546875" style="4" customWidth="1"/>
    <col min="10507" max="10507" width="21.7109375" style="4" customWidth="1"/>
    <col min="10508" max="10508" width="23.7109375" style="4" customWidth="1"/>
    <col min="10509" max="10509" width="21.85546875" style="4" customWidth="1"/>
    <col min="10510" max="10510" width="23.7109375" style="4" customWidth="1"/>
    <col min="10511" max="10511" width="22.42578125" style="4" bestFit="1" customWidth="1"/>
    <col min="10512" max="10512" width="22.28515625" style="4" bestFit="1" customWidth="1"/>
    <col min="10513" max="10513" width="21.85546875" style="4" customWidth="1"/>
    <col min="10514" max="10514" width="0" style="4" hidden="1" customWidth="1"/>
    <col min="10515" max="10515" width="19.5703125" style="4" customWidth="1"/>
    <col min="10516" max="10752" width="9.140625" style="4"/>
    <col min="10753" max="10753" width="5.85546875" style="4" customWidth="1"/>
    <col min="10754" max="10754" width="135.28515625" style="4" customWidth="1"/>
    <col min="10755" max="10755" width="23.85546875" style="4" customWidth="1"/>
    <col min="10756" max="10756" width="28.85546875" style="4" bestFit="1" customWidth="1"/>
    <col min="10757" max="10757" width="23.85546875" style="4" customWidth="1"/>
    <col min="10758" max="10758" width="22" style="4" customWidth="1"/>
    <col min="10759" max="10759" width="22.5703125" style="4" customWidth="1"/>
    <col min="10760" max="10760" width="21.140625" style="4" bestFit="1" customWidth="1"/>
    <col min="10761" max="10761" width="22" style="4" customWidth="1"/>
    <col min="10762" max="10762" width="27.85546875" style="4" customWidth="1"/>
    <col min="10763" max="10763" width="21.7109375" style="4" customWidth="1"/>
    <col min="10764" max="10764" width="23.7109375" style="4" customWidth="1"/>
    <col min="10765" max="10765" width="21.85546875" style="4" customWidth="1"/>
    <col min="10766" max="10766" width="23.7109375" style="4" customWidth="1"/>
    <col min="10767" max="10767" width="22.42578125" style="4" bestFit="1" customWidth="1"/>
    <col min="10768" max="10768" width="22.28515625" style="4" bestFit="1" customWidth="1"/>
    <col min="10769" max="10769" width="21.85546875" style="4" customWidth="1"/>
    <col min="10770" max="10770" width="0" style="4" hidden="1" customWidth="1"/>
    <col min="10771" max="10771" width="19.5703125" style="4" customWidth="1"/>
    <col min="10772" max="11008" width="9.140625" style="4"/>
    <col min="11009" max="11009" width="5.85546875" style="4" customWidth="1"/>
    <col min="11010" max="11010" width="135.28515625" style="4" customWidth="1"/>
    <col min="11011" max="11011" width="23.85546875" style="4" customWidth="1"/>
    <col min="11012" max="11012" width="28.85546875" style="4" bestFit="1" customWidth="1"/>
    <col min="11013" max="11013" width="23.85546875" style="4" customWidth="1"/>
    <col min="11014" max="11014" width="22" style="4" customWidth="1"/>
    <col min="11015" max="11015" width="22.5703125" style="4" customWidth="1"/>
    <col min="11016" max="11016" width="21.140625" style="4" bestFit="1" customWidth="1"/>
    <col min="11017" max="11017" width="22" style="4" customWidth="1"/>
    <col min="11018" max="11018" width="27.85546875" style="4" customWidth="1"/>
    <col min="11019" max="11019" width="21.7109375" style="4" customWidth="1"/>
    <col min="11020" max="11020" width="23.7109375" style="4" customWidth="1"/>
    <col min="11021" max="11021" width="21.85546875" style="4" customWidth="1"/>
    <col min="11022" max="11022" width="23.7109375" style="4" customWidth="1"/>
    <col min="11023" max="11023" width="22.42578125" style="4" bestFit="1" customWidth="1"/>
    <col min="11024" max="11024" width="22.28515625" style="4" bestFit="1" customWidth="1"/>
    <col min="11025" max="11025" width="21.85546875" style="4" customWidth="1"/>
    <col min="11026" max="11026" width="0" style="4" hidden="1" customWidth="1"/>
    <col min="11027" max="11027" width="19.5703125" style="4" customWidth="1"/>
    <col min="11028" max="11264" width="9.140625" style="4"/>
    <col min="11265" max="11265" width="5.85546875" style="4" customWidth="1"/>
    <col min="11266" max="11266" width="135.28515625" style="4" customWidth="1"/>
    <col min="11267" max="11267" width="23.85546875" style="4" customWidth="1"/>
    <col min="11268" max="11268" width="28.85546875" style="4" bestFit="1" customWidth="1"/>
    <col min="11269" max="11269" width="23.85546875" style="4" customWidth="1"/>
    <col min="11270" max="11270" width="22" style="4" customWidth="1"/>
    <col min="11271" max="11271" width="22.5703125" style="4" customWidth="1"/>
    <col min="11272" max="11272" width="21.140625" style="4" bestFit="1" customWidth="1"/>
    <col min="11273" max="11273" width="22" style="4" customWidth="1"/>
    <col min="11274" max="11274" width="27.85546875" style="4" customWidth="1"/>
    <col min="11275" max="11275" width="21.7109375" style="4" customWidth="1"/>
    <col min="11276" max="11276" width="23.7109375" style="4" customWidth="1"/>
    <col min="11277" max="11277" width="21.85546875" style="4" customWidth="1"/>
    <col min="11278" max="11278" width="23.7109375" style="4" customWidth="1"/>
    <col min="11279" max="11279" width="22.42578125" style="4" bestFit="1" customWidth="1"/>
    <col min="11280" max="11280" width="22.28515625" style="4" bestFit="1" customWidth="1"/>
    <col min="11281" max="11281" width="21.85546875" style="4" customWidth="1"/>
    <col min="11282" max="11282" width="0" style="4" hidden="1" customWidth="1"/>
    <col min="11283" max="11283" width="19.5703125" style="4" customWidth="1"/>
    <col min="11284" max="11520" width="9.140625" style="4"/>
    <col min="11521" max="11521" width="5.85546875" style="4" customWidth="1"/>
    <col min="11522" max="11522" width="135.28515625" style="4" customWidth="1"/>
    <col min="11523" max="11523" width="23.85546875" style="4" customWidth="1"/>
    <col min="11524" max="11524" width="28.85546875" style="4" bestFit="1" customWidth="1"/>
    <col min="11525" max="11525" width="23.85546875" style="4" customWidth="1"/>
    <col min="11526" max="11526" width="22" style="4" customWidth="1"/>
    <col min="11527" max="11527" width="22.5703125" style="4" customWidth="1"/>
    <col min="11528" max="11528" width="21.140625" style="4" bestFit="1" customWidth="1"/>
    <col min="11529" max="11529" width="22" style="4" customWidth="1"/>
    <col min="11530" max="11530" width="27.85546875" style="4" customWidth="1"/>
    <col min="11531" max="11531" width="21.7109375" style="4" customWidth="1"/>
    <col min="11532" max="11532" width="23.7109375" style="4" customWidth="1"/>
    <col min="11533" max="11533" width="21.85546875" style="4" customWidth="1"/>
    <col min="11534" max="11534" width="23.7109375" style="4" customWidth="1"/>
    <col min="11535" max="11535" width="22.42578125" style="4" bestFit="1" customWidth="1"/>
    <col min="11536" max="11536" width="22.28515625" style="4" bestFit="1" customWidth="1"/>
    <col min="11537" max="11537" width="21.85546875" style="4" customWidth="1"/>
    <col min="11538" max="11538" width="0" style="4" hidden="1" customWidth="1"/>
    <col min="11539" max="11539" width="19.5703125" style="4" customWidth="1"/>
    <col min="11540" max="11776" width="9.140625" style="4"/>
    <col min="11777" max="11777" width="5.85546875" style="4" customWidth="1"/>
    <col min="11778" max="11778" width="135.28515625" style="4" customWidth="1"/>
    <col min="11779" max="11779" width="23.85546875" style="4" customWidth="1"/>
    <col min="11780" max="11780" width="28.85546875" style="4" bestFit="1" customWidth="1"/>
    <col min="11781" max="11781" width="23.85546875" style="4" customWidth="1"/>
    <col min="11782" max="11782" width="22" style="4" customWidth="1"/>
    <col min="11783" max="11783" width="22.5703125" style="4" customWidth="1"/>
    <col min="11784" max="11784" width="21.140625" style="4" bestFit="1" customWidth="1"/>
    <col min="11785" max="11785" width="22" style="4" customWidth="1"/>
    <col min="11786" max="11786" width="27.85546875" style="4" customWidth="1"/>
    <col min="11787" max="11787" width="21.7109375" style="4" customWidth="1"/>
    <col min="11788" max="11788" width="23.7109375" style="4" customWidth="1"/>
    <col min="11789" max="11789" width="21.85546875" style="4" customWidth="1"/>
    <col min="11790" max="11790" width="23.7109375" style="4" customWidth="1"/>
    <col min="11791" max="11791" width="22.42578125" style="4" bestFit="1" customWidth="1"/>
    <col min="11792" max="11792" width="22.28515625" style="4" bestFit="1" customWidth="1"/>
    <col min="11793" max="11793" width="21.85546875" style="4" customWidth="1"/>
    <col min="11794" max="11794" width="0" style="4" hidden="1" customWidth="1"/>
    <col min="11795" max="11795" width="19.5703125" style="4" customWidth="1"/>
    <col min="11796" max="12032" width="9.140625" style="4"/>
    <col min="12033" max="12033" width="5.85546875" style="4" customWidth="1"/>
    <col min="12034" max="12034" width="135.28515625" style="4" customWidth="1"/>
    <col min="12035" max="12035" width="23.85546875" style="4" customWidth="1"/>
    <col min="12036" max="12036" width="28.85546875" style="4" bestFit="1" customWidth="1"/>
    <col min="12037" max="12037" width="23.85546875" style="4" customWidth="1"/>
    <col min="12038" max="12038" width="22" style="4" customWidth="1"/>
    <col min="12039" max="12039" width="22.5703125" style="4" customWidth="1"/>
    <col min="12040" max="12040" width="21.140625" style="4" bestFit="1" customWidth="1"/>
    <col min="12041" max="12041" width="22" style="4" customWidth="1"/>
    <col min="12042" max="12042" width="27.85546875" style="4" customWidth="1"/>
    <col min="12043" max="12043" width="21.7109375" style="4" customWidth="1"/>
    <col min="12044" max="12044" width="23.7109375" style="4" customWidth="1"/>
    <col min="12045" max="12045" width="21.85546875" style="4" customWidth="1"/>
    <col min="12046" max="12046" width="23.7109375" style="4" customWidth="1"/>
    <col min="12047" max="12047" width="22.42578125" style="4" bestFit="1" customWidth="1"/>
    <col min="12048" max="12048" width="22.28515625" style="4" bestFit="1" customWidth="1"/>
    <col min="12049" max="12049" width="21.85546875" style="4" customWidth="1"/>
    <col min="12050" max="12050" width="0" style="4" hidden="1" customWidth="1"/>
    <col min="12051" max="12051" width="19.5703125" style="4" customWidth="1"/>
    <col min="12052" max="12288" width="9.140625" style="4"/>
    <col min="12289" max="12289" width="5.85546875" style="4" customWidth="1"/>
    <col min="12290" max="12290" width="135.28515625" style="4" customWidth="1"/>
    <col min="12291" max="12291" width="23.85546875" style="4" customWidth="1"/>
    <col min="12292" max="12292" width="28.85546875" style="4" bestFit="1" customWidth="1"/>
    <col min="12293" max="12293" width="23.85546875" style="4" customWidth="1"/>
    <col min="12294" max="12294" width="22" style="4" customWidth="1"/>
    <col min="12295" max="12295" width="22.5703125" style="4" customWidth="1"/>
    <col min="12296" max="12296" width="21.140625" style="4" bestFit="1" customWidth="1"/>
    <col min="12297" max="12297" width="22" style="4" customWidth="1"/>
    <col min="12298" max="12298" width="27.85546875" style="4" customWidth="1"/>
    <col min="12299" max="12299" width="21.7109375" style="4" customWidth="1"/>
    <col min="12300" max="12300" width="23.7109375" style="4" customWidth="1"/>
    <col min="12301" max="12301" width="21.85546875" style="4" customWidth="1"/>
    <col min="12302" max="12302" width="23.7109375" style="4" customWidth="1"/>
    <col min="12303" max="12303" width="22.42578125" style="4" bestFit="1" customWidth="1"/>
    <col min="12304" max="12304" width="22.28515625" style="4" bestFit="1" customWidth="1"/>
    <col min="12305" max="12305" width="21.85546875" style="4" customWidth="1"/>
    <col min="12306" max="12306" width="0" style="4" hidden="1" customWidth="1"/>
    <col min="12307" max="12307" width="19.5703125" style="4" customWidth="1"/>
    <col min="12308" max="12544" width="9.140625" style="4"/>
    <col min="12545" max="12545" width="5.85546875" style="4" customWidth="1"/>
    <col min="12546" max="12546" width="135.28515625" style="4" customWidth="1"/>
    <col min="12547" max="12547" width="23.85546875" style="4" customWidth="1"/>
    <col min="12548" max="12548" width="28.85546875" style="4" bestFit="1" customWidth="1"/>
    <col min="12549" max="12549" width="23.85546875" style="4" customWidth="1"/>
    <col min="12550" max="12550" width="22" style="4" customWidth="1"/>
    <col min="12551" max="12551" width="22.5703125" style="4" customWidth="1"/>
    <col min="12552" max="12552" width="21.140625" style="4" bestFit="1" customWidth="1"/>
    <col min="12553" max="12553" width="22" style="4" customWidth="1"/>
    <col min="12554" max="12554" width="27.85546875" style="4" customWidth="1"/>
    <col min="12555" max="12555" width="21.7109375" style="4" customWidth="1"/>
    <col min="12556" max="12556" width="23.7109375" style="4" customWidth="1"/>
    <col min="12557" max="12557" width="21.85546875" style="4" customWidth="1"/>
    <col min="12558" max="12558" width="23.7109375" style="4" customWidth="1"/>
    <col min="12559" max="12559" width="22.42578125" style="4" bestFit="1" customWidth="1"/>
    <col min="12560" max="12560" width="22.28515625" style="4" bestFit="1" customWidth="1"/>
    <col min="12561" max="12561" width="21.85546875" style="4" customWidth="1"/>
    <col min="12562" max="12562" width="0" style="4" hidden="1" customWidth="1"/>
    <col min="12563" max="12563" width="19.5703125" style="4" customWidth="1"/>
    <col min="12564" max="12800" width="9.140625" style="4"/>
    <col min="12801" max="12801" width="5.85546875" style="4" customWidth="1"/>
    <col min="12802" max="12802" width="135.28515625" style="4" customWidth="1"/>
    <col min="12803" max="12803" width="23.85546875" style="4" customWidth="1"/>
    <col min="12804" max="12804" width="28.85546875" style="4" bestFit="1" customWidth="1"/>
    <col min="12805" max="12805" width="23.85546875" style="4" customWidth="1"/>
    <col min="12806" max="12806" width="22" style="4" customWidth="1"/>
    <col min="12807" max="12807" width="22.5703125" style="4" customWidth="1"/>
    <col min="12808" max="12808" width="21.140625" style="4" bestFit="1" customWidth="1"/>
    <col min="12809" max="12809" width="22" style="4" customWidth="1"/>
    <col min="12810" max="12810" width="27.85546875" style="4" customWidth="1"/>
    <col min="12811" max="12811" width="21.7109375" style="4" customWidth="1"/>
    <col min="12812" max="12812" width="23.7109375" style="4" customWidth="1"/>
    <col min="12813" max="12813" width="21.85546875" style="4" customWidth="1"/>
    <col min="12814" max="12814" width="23.7109375" style="4" customWidth="1"/>
    <col min="12815" max="12815" width="22.42578125" style="4" bestFit="1" customWidth="1"/>
    <col min="12816" max="12816" width="22.28515625" style="4" bestFit="1" customWidth="1"/>
    <col min="12817" max="12817" width="21.85546875" style="4" customWidth="1"/>
    <col min="12818" max="12818" width="0" style="4" hidden="1" customWidth="1"/>
    <col min="12819" max="12819" width="19.5703125" style="4" customWidth="1"/>
    <col min="12820" max="13056" width="9.140625" style="4"/>
    <col min="13057" max="13057" width="5.85546875" style="4" customWidth="1"/>
    <col min="13058" max="13058" width="135.28515625" style="4" customWidth="1"/>
    <col min="13059" max="13059" width="23.85546875" style="4" customWidth="1"/>
    <col min="13060" max="13060" width="28.85546875" style="4" bestFit="1" customWidth="1"/>
    <col min="13061" max="13061" width="23.85546875" style="4" customWidth="1"/>
    <col min="13062" max="13062" width="22" style="4" customWidth="1"/>
    <col min="13063" max="13063" width="22.5703125" style="4" customWidth="1"/>
    <col min="13064" max="13064" width="21.140625" style="4" bestFit="1" customWidth="1"/>
    <col min="13065" max="13065" width="22" style="4" customWidth="1"/>
    <col min="13066" max="13066" width="27.85546875" style="4" customWidth="1"/>
    <col min="13067" max="13067" width="21.7109375" style="4" customWidth="1"/>
    <col min="13068" max="13068" width="23.7109375" style="4" customWidth="1"/>
    <col min="13069" max="13069" width="21.85546875" style="4" customWidth="1"/>
    <col min="13070" max="13070" width="23.7109375" style="4" customWidth="1"/>
    <col min="13071" max="13071" width="22.42578125" style="4" bestFit="1" customWidth="1"/>
    <col min="13072" max="13072" width="22.28515625" style="4" bestFit="1" customWidth="1"/>
    <col min="13073" max="13073" width="21.85546875" style="4" customWidth="1"/>
    <col min="13074" max="13074" width="0" style="4" hidden="1" customWidth="1"/>
    <col min="13075" max="13075" width="19.5703125" style="4" customWidth="1"/>
    <col min="13076" max="13312" width="9.140625" style="4"/>
    <col min="13313" max="13313" width="5.85546875" style="4" customWidth="1"/>
    <col min="13314" max="13314" width="135.28515625" style="4" customWidth="1"/>
    <col min="13315" max="13315" width="23.85546875" style="4" customWidth="1"/>
    <col min="13316" max="13316" width="28.85546875" style="4" bestFit="1" customWidth="1"/>
    <col min="13317" max="13317" width="23.85546875" style="4" customWidth="1"/>
    <col min="13318" max="13318" width="22" style="4" customWidth="1"/>
    <col min="13319" max="13319" width="22.5703125" style="4" customWidth="1"/>
    <col min="13320" max="13320" width="21.140625" style="4" bestFit="1" customWidth="1"/>
    <col min="13321" max="13321" width="22" style="4" customWidth="1"/>
    <col min="13322" max="13322" width="27.85546875" style="4" customWidth="1"/>
    <col min="13323" max="13323" width="21.7109375" style="4" customWidth="1"/>
    <col min="13324" max="13324" width="23.7109375" style="4" customWidth="1"/>
    <col min="13325" max="13325" width="21.85546875" style="4" customWidth="1"/>
    <col min="13326" max="13326" width="23.7109375" style="4" customWidth="1"/>
    <col min="13327" max="13327" width="22.42578125" style="4" bestFit="1" customWidth="1"/>
    <col min="13328" max="13328" width="22.28515625" style="4" bestFit="1" customWidth="1"/>
    <col min="13329" max="13329" width="21.85546875" style="4" customWidth="1"/>
    <col min="13330" max="13330" width="0" style="4" hidden="1" customWidth="1"/>
    <col min="13331" max="13331" width="19.5703125" style="4" customWidth="1"/>
    <col min="13332" max="13568" width="9.140625" style="4"/>
    <col min="13569" max="13569" width="5.85546875" style="4" customWidth="1"/>
    <col min="13570" max="13570" width="135.28515625" style="4" customWidth="1"/>
    <col min="13571" max="13571" width="23.85546875" style="4" customWidth="1"/>
    <col min="13572" max="13572" width="28.85546875" style="4" bestFit="1" customWidth="1"/>
    <col min="13573" max="13573" width="23.85546875" style="4" customWidth="1"/>
    <col min="13574" max="13574" width="22" style="4" customWidth="1"/>
    <col min="13575" max="13575" width="22.5703125" style="4" customWidth="1"/>
    <col min="13576" max="13576" width="21.140625" style="4" bestFit="1" customWidth="1"/>
    <col min="13577" max="13577" width="22" style="4" customWidth="1"/>
    <col min="13578" max="13578" width="27.85546875" style="4" customWidth="1"/>
    <col min="13579" max="13579" width="21.7109375" style="4" customWidth="1"/>
    <col min="13580" max="13580" width="23.7109375" style="4" customWidth="1"/>
    <col min="13581" max="13581" width="21.85546875" style="4" customWidth="1"/>
    <col min="13582" max="13582" width="23.7109375" style="4" customWidth="1"/>
    <col min="13583" max="13583" width="22.42578125" style="4" bestFit="1" customWidth="1"/>
    <col min="13584" max="13584" width="22.28515625" style="4" bestFit="1" customWidth="1"/>
    <col min="13585" max="13585" width="21.85546875" style="4" customWidth="1"/>
    <col min="13586" max="13586" width="0" style="4" hidden="1" customWidth="1"/>
    <col min="13587" max="13587" width="19.5703125" style="4" customWidth="1"/>
    <col min="13588" max="13824" width="9.140625" style="4"/>
    <col min="13825" max="13825" width="5.85546875" style="4" customWidth="1"/>
    <col min="13826" max="13826" width="135.28515625" style="4" customWidth="1"/>
    <col min="13827" max="13827" width="23.85546875" style="4" customWidth="1"/>
    <col min="13828" max="13828" width="28.85546875" style="4" bestFit="1" customWidth="1"/>
    <col min="13829" max="13829" width="23.85546875" style="4" customWidth="1"/>
    <col min="13830" max="13830" width="22" style="4" customWidth="1"/>
    <col min="13831" max="13831" width="22.5703125" style="4" customWidth="1"/>
    <col min="13832" max="13832" width="21.140625" style="4" bestFit="1" customWidth="1"/>
    <col min="13833" max="13833" width="22" style="4" customWidth="1"/>
    <col min="13834" max="13834" width="27.85546875" style="4" customWidth="1"/>
    <col min="13835" max="13835" width="21.7109375" style="4" customWidth="1"/>
    <col min="13836" max="13836" width="23.7109375" style="4" customWidth="1"/>
    <col min="13837" max="13837" width="21.85546875" style="4" customWidth="1"/>
    <col min="13838" max="13838" width="23.7109375" style="4" customWidth="1"/>
    <col min="13839" max="13839" width="22.42578125" style="4" bestFit="1" customWidth="1"/>
    <col min="13840" max="13840" width="22.28515625" style="4" bestFit="1" customWidth="1"/>
    <col min="13841" max="13841" width="21.85546875" style="4" customWidth="1"/>
    <col min="13842" max="13842" width="0" style="4" hidden="1" customWidth="1"/>
    <col min="13843" max="13843" width="19.5703125" style="4" customWidth="1"/>
    <col min="13844" max="14080" width="9.140625" style="4"/>
    <col min="14081" max="14081" width="5.85546875" style="4" customWidth="1"/>
    <col min="14082" max="14082" width="135.28515625" style="4" customWidth="1"/>
    <col min="14083" max="14083" width="23.85546875" style="4" customWidth="1"/>
    <col min="14084" max="14084" width="28.85546875" style="4" bestFit="1" customWidth="1"/>
    <col min="14085" max="14085" width="23.85546875" style="4" customWidth="1"/>
    <col min="14086" max="14086" width="22" style="4" customWidth="1"/>
    <col min="14087" max="14087" width="22.5703125" style="4" customWidth="1"/>
    <col min="14088" max="14088" width="21.140625" style="4" bestFit="1" customWidth="1"/>
    <col min="14089" max="14089" width="22" style="4" customWidth="1"/>
    <col min="14090" max="14090" width="27.85546875" style="4" customWidth="1"/>
    <col min="14091" max="14091" width="21.7109375" style="4" customWidth="1"/>
    <col min="14092" max="14092" width="23.7109375" style="4" customWidth="1"/>
    <col min="14093" max="14093" width="21.85546875" style="4" customWidth="1"/>
    <col min="14094" max="14094" width="23.7109375" style="4" customWidth="1"/>
    <col min="14095" max="14095" width="22.42578125" style="4" bestFit="1" customWidth="1"/>
    <col min="14096" max="14096" width="22.28515625" style="4" bestFit="1" customWidth="1"/>
    <col min="14097" max="14097" width="21.85546875" style="4" customWidth="1"/>
    <col min="14098" max="14098" width="0" style="4" hidden="1" customWidth="1"/>
    <col min="14099" max="14099" width="19.5703125" style="4" customWidth="1"/>
    <col min="14100" max="14336" width="9.140625" style="4"/>
    <col min="14337" max="14337" width="5.85546875" style="4" customWidth="1"/>
    <col min="14338" max="14338" width="135.28515625" style="4" customWidth="1"/>
    <col min="14339" max="14339" width="23.85546875" style="4" customWidth="1"/>
    <col min="14340" max="14340" width="28.85546875" style="4" bestFit="1" customWidth="1"/>
    <col min="14341" max="14341" width="23.85546875" style="4" customWidth="1"/>
    <col min="14342" max="14342" width="22" style="4" customWidth="1"/>
    <col min="14343" max="14343" width="22.5703125" style="4" customWidth="1"/>
    <col min="14344" max="14344" width="21.140625" style="4" bestFit="1" customWidth="1"/>
    <col min="14345" max="14345" width="22" style="4" customWidth="1"/>
    <col min="14346" max="14346" width="27.85546875" style="4" customWidth="1"/>
    <col min="14347" max="14347" width="21.7109375" style="4" customWidth="1"/>
    <col min="14348" max="14348" width="23.7109375" style="4" customWidth="1"/>
    <col min="14349" max="14349" width="21.85546875" style="4" customWidth="1"/>
    <col min="14350" max="14350" width="23.7109375" style="4" customWidth="1"/>
    <col min="14351" max="14351" width="22.42578125" style="4" bestFit="1" customWidth="1"/>
    <col min="14352" max="14352" width="22.28515625" style="4" bestFit="1" customWidth="1"/>
    <col min="14353" max="14353" width="21.85546875" style="4" customWidth="1"/>
    <col min="14354" max="14354" width="0" style="4" hidden="1" customWidth="1"/>
    <col min="14355" max="14355" width="19.5703125" style="4" customWidth="1"/>
    <col min="14356" max="14592" width="9.140625" style="4"/>
    <col min="14593" max="14593" width="5.85546875" style="4" customWidth="1"/>
    <col min="14594" max="14594" width="135.28515625" style="4" customWidth="1"/>
    <col min="14595" max="14595" width="23.85546875" style="4" customWidth="1"/>
    <col min="14596" max="14596" width="28.85546875" style="4" bestFit="1" customWidth="1"/>
    <col min="14597" max="14597" width="23.85546875" style="4" customWidth="1"/>
    <col min="14598" max="14598" width="22" style="4" customWidth="1"/>
    <col min="14599" max="14599" width="22.5703125" style="4" customWidth="1"/>
    <col min="14600" max="14600" width="21.140625" style="4" bestFit="1" customWidth="1"/>
    <col min="14601" max="14601" width="22" style="4" customWidth="1"/>
    <col min="14602" max="14602" width="27.85546875" style="4" customWidth="1"/>
    <col min="14603" max="14603" width="21.7109375" style="4" customWidth="1"/>
    <col min="14604" max="14604" width="23.7109375" style="4" customWidth="1"/>
    <col min="14605" max="14605" width="21.85546875" style="4" customWidth="1"/>
    <col min="14606" max="14606" width="23.7109375" style="4" customWidth="1"/>
    <col min="14607" max="14607" width="22.42578125" style="4" bestFit="1" customWidth="1"/>
    <col min="14608" max="14608" width="22.28515625" style="4" bestFit="1" customWidth="1"/>
    <col min="14609" max="14609" width="21.85546875" style="4" customWidth="1"/>
    <col min="14610" max="14610" width="0" style="4" hidden="1" customWidth="1"/>
    <col min="14611" max="14611" width="19.5703125" style="4" customWidth="1"/>
    <col min="14612" max="14848" width="9.140625" style="4"/>
    <col min="14849" max="14849" width="5.85546875" style="4" customWidth="1"/>
    <col min="14850" max="14850" width="135.28515625" style="4" customWidth="1"/>
    <col min="14851" max="14851" width="23.85546875" style="4" customWidth="1"/>
    <col min="14852" max="14852" width="28.85546875" style="4" bestFit="1" customWidth="1"/>
    <col min="14853" max="14853" width="23.85546875" style="4" customWidth="1"/>
    <col min="14854" max="14854" width="22" style="4" customWidth="1"/>
    <col min="14855" max="14855" width="22.5703125" style="4" customWidth="1"/>
    <col min="14856" max="14856" width="21.140625" style="4" bestFit="1" customWidth="1"/>
    <col min="14857" max="14857" width="22" style="4" customWidth="1"/>
    <col min="14858" max="14858" width="27.85546875" style="4" customWidth="1"/>
    <col min="14859" max="14859" width="21.7109375" style="4" customWidth="1"/>
    <col min="14860" max="14860" width="23.7109375" style="4" customWidth="1"/>
    <col min="14861" max="14861" width="21.85546875" style="4" customWidth="1"/>
    <col min="14862" max="14862" width="23.7109375" style="4" customWidth="1"/>
    <col min="14863" max="14863" width="22.42578125" style="4" bestFit="1" customWidth="1"/>
    <col min="14864" max="14864" width="22.28515625" style="4" bestFit="1" customWidth="1"/>
    <col min="14865" max="14865" width="21.85546875" style="4" customWidth="1"/>
    <col min="14866" max="14866" width="0" style="4" hidden="1" customWidth="1"/>
    <col min="14867" max="14867" width="19.5703125" style="4" customWidth="1"/>
    <col min="14868" max="15104" width="9.140625" style="4"/>
    <col min="15105" max="15105" width="5.85546875" style="4" customWidth="1"/>
    <col min="15106" max="15106" width="135.28515625" style="4" customWidth="1"/>
    <col min="15107" max="15107" width="23.85546875" style="4" customWidth="1"/>
    <col min="15108" max="15108" width="28.85546875" style="4" bestFit="1" customWidth="1"/>
    <col min="15109" max="15109" width="23.85546875" style="4" customWidth="1"/>
    <col min="15110" max="15110" width="22" style="4" customWidth="1"/>
    <col min="15111" max="15111" width="22.5703125" style="4" customWidth="1"/>
    <col min="15112" max="15112" width="21.140625" style="4" bestFit="1" customWidth="1"/>
    <col min="15113" max="15113" width="22" style="4" customWidth="1"/>
    <col min="15114" max="15114" width="27.85546875" style="4" customWidth="1"/>
    <col min="15115" max="15115" width="21.7109375" style="4" customWidth="1"/>
    <col min="15116" max="15116" width="23.7109375" style="4" customWidth="1"/>
    <col min="15117" max="15117" width="21.85546875" style="4" customWidth="1"/>
    <col min="15118" max="15118" width="23.7109375" style="4" customWidth="1"/>
    <col min="15119" max="15119" width="22.42578125" style="4" bestFit="1" customWidth="1"/>
    <col min="15120" max="15120" width="22.28515625" style="4" bestFit="1" customWidth="1"/>
    <col min="15121" max="15121" width="21.85546875" style="4" customWidth="1"/>
    <col min="15122" max="15122" width="0" style="4" hidden="1" customWidth="1"/>
    <col min="15123" max="15123" width="19.5703125" style="4" customWidth="1"/>
    <col min="15124" max="15360" width="9.140625" style="4"/>
    <col min="15361" max="15361" width="5.85546875" style="4" customWidth="1"/>
    <col min="15362" max="15362" width="135.28515625" style="4" customWidth="1"/>
    <col min="15363" max="15363" width="23.85546875" style="4" customWidth="1"/>
    <col min="15364" max="15364" width="28.85546875" style="4" bestFit="1" customWidth="1"/>
    <col min="15365" max="15365" width="23.85546875" style="4" customWidth="1"/>
    <col min="15366" max="15366" width="22" style="4" customWidth="1"/>
    <col min="15367" max="15367" width="22.5703125" style="4" customWidth="1"/>
    <col min="15368" max="15368" width="21.140625" style="4" bestFit="1" customWidth="1"/>
    <col min="15369" max="15369" width="22" style="4" customWidth="1"/>
    <col min="15370" max="15370" width="27.85546875" style="4" customWidth="1"/>
    <col min="15371" max="15371" width="21.7109375" style="4" customWidth="1"/>
    <col min="15372" max="15372" width="23.7109375" style="4" customWidth="1"/>
    <col min="15373" max="15373" width="21.85546875" style="4" customWidth="1"/>
    <col min="15374" max="15374" width="23.7109375" style="4" customWidth="1"/>
    <col min="15375" max="15375" width="22.42578125" style="4" bestFit="1" customWidth="1"/>
    <col min="15376" max="15376" width="22.28515625" style="4" bestFit="1" customWidth="1"/>
    <col min="15377" max="15377" width="21.85546875" style="4" customWidth="1"/>
    <col min="15378" max="15378" width="0" style="4" hidden="1" customWidth="1"/>
    <col min="15379" max="15379" width="19.5703125" style="4" customWidth="1"/>
    <col min="15380" max="15616" width="9.140625" style="4"/>
    <col min="15617" max="15617" width="5.85546875" style="4" customWidth="1"/>
    <col min="15618" max="15618" width="135.28515625" style="4" customWidth="1"/>
    <col min="15619" max="15619" width="23.85546875" style="4" customWidth="1"/>
    <col min="15620" max="15620" width="28.85546875" style="4" bestFit="1" customWidth="1"/>
    <col min="15621" max="15621" width="23.85546875" style="4" customWidth="1"/>
    <col min="15622" max="15622" width="22" style="4" customWidth="1"/>
    <col min="15623" max="15623" width="22.5703125" style="4" customWidth="1"/>
    <col min="15624" max="15624" width="21.140625" style="4" bestFit="1" customWidth="1"/>
    <col min="15625" max="15625" width="22" style="4" customWidth="1"/>
    <col min="15626" max="15626" width="27.85546875" style="4" customWidth="1"/>
    <col min="15627" max="15627" width="21.7109375" style="4" customWidth="1"/>
    <col min="15628" max="15628" width="23.7109375" style="4" customWidth="1"/>
    <col min="15629" max="15629" width="21.85546875" style="4" customWidth="1"/>
    <col min="15630" max="15630" width="23.7109375" style="4" customWidth="1"/>
    <col min="15631" max="15631" width="22.42578125" style="4" bestFit="1" customWidth="1"/>
    <col min="15632" max="15632" width="22.28515625" style="4" bestFit="1" customWidth="1"/>
    <col min="15633" max="15633" width="21.85546875" style="4" customWidth="1"/>
    <col min="15634" max="15634" width="0" style="4" hidden="1" customWidth="1"/>
    <col min="15635" max="15635" width="19.5703125" style="4" customWidth="1"/>
    <col min="15636" max="15872" width="9.140625" style="4"/>
    <col min="15873" max="15873" width="5.85546875" style="4" customWidth="1"/>
    <col min="15874" max="15874" width="135.28515625" style="4" customWidth="1"/>
    <col min="15875" max="15875" width="23.85546875" style="4" customWidth="1"/>
    <col min="15876" max="15876" width="28.85546875" style="4" bestFit="1" customWidth="1"/>
    <col min="15877" max="15877" width="23.85546875" style="4" customWidth="1"/>
    <col min="15878" max="15878" width="22" style="4" customWidth="1"/>
    <col min="15879" max="15879" width="22.5703125" style="4" customWidth="1"/>
    <col min="15880" max="15880" width="21.140625" style="4" bestFit="1" customWidth="1"/>
    <col min="15881" max="15881" width="22" style="4" customWidth="1"/>
    <col min="15882" max="15882" width="27.85546875" style="4" customWidth="1"/>
    <col min="15883" max="15883" width="21.7109375" style="4" customWidth="1"/>
    <col min="15884" max="15884" width="23.7109375" style="4" customWidth="1"/>
    <col min="15885" max="15885" width="21.85546875" style="4" customWidth="1"/>
    <col min="15886" max="15886" width="23.7109375" style="4" customWidth="1"/>
    <col min="15887" max="15887" width="22.42578125" style="4" bestFit="1" customWidth="1"/>
    <col min="15888" max="15888" width="22.28515625" style="4" bestFit="1" customWidth="1"/>
    <col min="15889" max="15889" width="21.85546875" style="4" customWidth="1"/>
    <col min="15890" max="15890" width="0" style="4" hidden="1" customWidth="1"/>
    <col min="15891" max="15891" width="19.5703125" style="4" customWidth="1"/>
    <col min="15892" max="16128" width="9.140625" style="4"/>
    <col min="16129" max="16129" width="5.85546875" style="4" customWidth="1"/>
    <col min="16130" max="16130" width="135.28515625" style="4" customWidth="1"/>
    <col min="16131" max="16131" width="23.85546875" style="4" customWidth="1"/>
    <col min="16132" max="16132" width="28.85546875" style="4" bestFit="1" customWidth="1"/>
    <col min="16133" max="16133" width="23.85546875" style="4" customWidth="1"/>
    <col min="16134" max="16134" width="22" style="4" customWidth="1"/>
    <col min="16135" max="16135" width="22.5703125" style="4" customWidth="1"/>
    <col min="16136" max="16136" width="21.140625" style="4" bestFit="1" customWidth="1"/>
    <col min="16137" max="16137" width="22" style="4" customWidth="1"/>
    <col min="16138" max="16138" width="27.85546875" style="4" customWidth="1"/>
    <col min="16139" max="16139" width="21.7109375" style="4" customWidth="1"/>
    <col min="16140" max="16140" width="23.7109375" style="4" customWidth="1"/>
    <col min="16141" max="16141" width="21.85546875" style="4" customWidth="1"/>
    <col min="16142" max="16142" width="23.7109375" style="4" customWidth="1"/>
    <col min="16143" max="16143" width="22.42578125" style="4" bestFit="1" customWidth="1"/>
    <col min="16144" max="16144" width="22.28515625" style="4" bestFit="1" customWidth="1"/>
    <col min="16145" max="16145" width="21.85546875" style="4" customWidth="1"/>
    <col min="16146" max="16146" width="0" style="4" hidden="1" customWidth="1"/>
    <col min="16147" max="16147" width="19.5703125" style="4" customWidth="1"/>
    <col min="16148" max="16384" width="9.140625" style="4"/>
  </cols>
  <sheetData>
    <row r="1" spans="1:21" ht="20.25" x14ac:dyDescent="0.35">
      <c r="A1" s="2" t="s">
        <v>0</v>
      </c>
      <c r="B1" s="62" t="s">
        <v>38</v>
      </c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57"/>
      <c r="Q1" s="3"/>
    </row>
    <row r="2" spans="1:21" ht="20.25" x14ac:dyDescent="0.35">
      <c r="A2" s="2"/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57"/>
      <c r="Q2" s="3"/>
    </row>
    <row r="3" spans="1:21" ht="20.25" x14ac:dyDescent="0.35">
      <c r="A3" s="2"/>
      <c r="B3" s="57"/>
      <c r="C3" s="57"/>
      <c r="D3" s="5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3"/>
    </row>
    <row r="4" spans="1:21" ht="43.5" customHeight="1" x14ac:dyDescent="0.35">
      <c r="A4" s="2"/>
      <c r="B4" s="62" t="s">
        <v>116</v>
      </c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39"/>
      <c r="Q4" s="3"/>
    </row>
    <row r="5" spans="1:21" ht="20.25" x14ac:dyDescent="0.35">
      <c r="A5" s="2"/>
      <c r="B5" s="57"/>
      <c r="C5" s="57"/>
      <c r="D5" s="5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3"/>
    </row>
    <row r="6" spans="1:21" ht="21" thickBot="1" x14ac:dyDescent="0.4">
      <c r="A6" s="2"/>
      <c r="B6" s="2"/>
      <c r="C6" s="6"/>
      <c r="D6" s="7"/>
      <c r="E6" s="8"/>
      <c r="F6" s="9"/>
      <c r="G6" s="9"/>
      <c r="H6" s="2"/>
      <c r="I6" s="10"/>
      <c r="J6" s="9"/>
      <c r="K6" s="11"/>
      <c r="L6" s="11"/>
      <c r="M6" s="2"/>
      <c r="N6" s="2"/>
      <c r="O6" s="12"/>
      <c r="P6" s="13"/>
      <c r="Q6" s="14" t="s">
        <v>39</v>
      </c>
    </row>
    <row r="7" spans="1:21" ht="20.25" x14ac:dyDescent="0.35">
      <c r="A7" s="63" t="s">
        <v>40</v>
      </c>
      <c r="B7" s="64"/>
      <c r="C7" s="67" t="s">
        <v>104</v>
      </c>
      <c r="D7" s="67"/>
      <c r="E7" s="67"/>
      <c r="F7" s="67" t="s">
        <v>41</v>
      </c>
      <c r="G7" s="67"/>
      <c r="H7" s="67"/>
      <c r="I7" s="67" t="s">
        <v>42</v>
      </c>
      <c r="J7" s="67"/>
      <c r="K7" s="67"/>
      <c r="L7" s="67" t="s">
        <v>43</v>
      </c>
      <c r="M7" s="67"/>
      <c r="N7" s="67"/>
      <c r="O7" s="67" t="s">
        <v>44</v>
      </c>
      <c r="P7" s="67"/>
      <c r="Q7" s="68"/>
    </row>
    <row r="8" spans="1:21" ht="20.25" x14ac:dyDescent="0.35">
      <c r="A8" s="65"/>
      <c r="B8" s="66"/>
      <c r="C8" s="15" t="s">
        <v>45</v>
      </c>
      <c r="D8" s="15" t="s">
        <v>46</v>
      </c>
      <c r="E8" s="15" t="s">
        <v>47</v>
      </c>
      <c r="F8" s="15" t="s">
        <v>45</v>
      </c>
      <c r="G8" s="15" t="s">
        <v>46</v>
      </c>
      <c r="H8" s="15" t="s">
        <v>47</v>
      </c>
      <c r="I8" s="15" t="s">
        <v>45</v>
      </c>
      <c r="J8" s="15" t="s">
        <v>46</v>
      </c>
      <c r="K8" s="15" t="s">
        <v>47</v>
      </c>
      <c r="L8" s="15" t="s">
        <v>45</v>
      </c>
      <c r="M8" s="15" t="s">
        <v>46</v>
      </c>
      <c r="N8" s="15" t="s">
        <v>47</v>
      </c>
      <c r="O8" s="15" t="s">
        <v>45</v>
      </c>
      <c r="P8" s="15" t="s">
        <v>46</v>
      </c>
      <c r="Q8" s="16" t="s">
        <v>47</v>
      </c>
    </row>
    <row r="9" spans="1:21" s="19" customFormat="1" ht="20.25" x14ac:dyDescent="0.35">
      <c r="A9" s="1" t="s">
        <v>48</v>
      </c>
      <c r="B9" s="59"/>
      <c r="C9" s="17">
        <f t="shared" ref="C9:Q9" si="0">C10+C18</f>
        <v>39464914.579999998</v>
      </c>
      <c r="D9" s="17">
        <f t="shared" si="0"/>
        <v>39861252.180000007</v>
      </c>
      <c r="E9" s="17">
        <f t="shared" si="0"/>
        <v>9013250.879999999</v>
      </c>
      <c r="F9" s="17">
        <f t="shared" si="0"/>
        <v>10124085.500000002</v>
      </c>
      <c r="G9" s="17">
        <f t="shared" si="0"/>
        <v>10124085.500000002</v>
      </c>
      <c r="H9" s="17">
        <f t="shared" si="0"/>
        <v>6287025.9699999997</v>
      </c>
      <c r="I9" s="17">
        <f t="shared" si="0"/>
        <v>7707107.8999999994</v>
      </c>
      <c r="J9" s="17">
        <f t="shared" si="0"/>
        <v>8077107.8999999994</v>
      </c>
      <c r="K9" s="17">
        <f t="shared" si="0"/>
        <v>1338424.5499999998</v>
      </c>
      <c r="L9" s="17">
        <f t="shared" si="0"/>
        <v>6384909.6000000006</v>
      </c>
      <c r="M9" s="17">
        <f t="shared" si="0"/>
        <v>6411247.2000000002</v>
      </c>
      <c r="N9" s="17">
        <f t="shared" si="0"/>
        <v>1387800.3599999999</v>
      </c>
      <c r="O9" s="17">
        <f t="shared" si="0"/>
        <v>15248811.58</v>
      </c>
      <c r="P9" s="17">
        <f t="shared" si="0"/>
        <v>15248811.58</v>
      </c>
      <c r="Q9" s="18">
        <f t="shared" si="0"/>
        <v>0</v>
      </c>
    </row>
    <row r="10" spans="1:21" s="19" customFormat="1" ht="20.25" x14ac:dyDescent="0.35">
      <c r="A10" s="1" t="s">
        <v>49</v>
      </c>
      <c r="B10" s="59"/>
      <c r="C10" s="38">
        <f>SUM(C11:C17)</f>
        <v>8858400</v>
      </c>
      <c r="D10" s="38">
        <f t="shared" ref="D10:Q10" si="1">SUM(D11:D17)</f>
        <v>8858400</v>
      </c>
      <c r="E10" s="38">
        <f t="shared" si="1"/>
        <v>4451235.2699999996</v>
      </c>
      <c r="F10" s="38">
        <f t="shared" si="1"/>
        <v>0</v>
      </c>
      <c r="G10" s="38">
        <f t="shared" si="1"/>
        <v>0</v>
      </c>
      <c r="H10" s="38">
        <f t="shared" si="1"/>
        <v>4451235.2699999996</v>
      </c>
      <c r="I10" s="38">
        <f t="shared" si="1"/>
        <v>0</v>
      </c>
      <c r="J10" s="38">
        <f t="shared" si="1"/>
        <v>0</v>
      </c>
      <c r="K10" s="38">
        <f t="shared" si="1"/>
        <v>0</v>
      </c>
      <c r="L10" s="38">
        <f t="shared" si="1"/>
        <v>0</v>
      </c>
      <c r="M10" s="38">
        <f t="shared" si="1"/>
        <v>0</v>
      </c>
      <c r="N10" s="38">
        <f t="shared" si="1"/>
        <v>0</v>
      </c>
      <c r="O10" s="38">
        <f t="shared" si="1"/>
        <v>8858400</v>
      </c>
      <c r="P10" s="38">
        <f t="shared" si="1"/>
        <v>8858400</v>
      </c>
      <c r="Q10" s="40">
        <f t="shared" si="1"/>
        <v>0</v>
      </c>
    </row>
    <row r="11" spans="1:21" s="43" customFormat="1" ht="55.5" customHeight="1" x14ac:dyDescent="0.3">
      <c r="A11" s="22" t="s">
        <v>50</v>
      </c>
      <c r="B11" s="20" t="s">
        <v>51</v>
      </c>
      <c r="C11" s="24">
        <f t="shared" ref="C11:E14" si="2">F11+I11+L11+O11</f>
        <v>2214600</v>
      </c>
      <c r="D11" s="24">
        <f t="shared" si="2"/>
        <v>2214600</v>
      </c>
      <c r="E11" s="24">
        <f t="shared" si="2"/>
        <v>0</v>
      </c>
      <c r="F11" s="24">
        <v>0</v>
      </c>
      <c r="G11" s="24">
        <v>0</v>
      </c>
      <c r="H11" s="24">
        <v>0</v>
      </c>
      <c r="I11" s="24">
        <v>0</v>
      </c>
      <c r="J11" s="24">
        <v>0</v>
      </c>
      <c r="K11" s="24">
        <v>0</v>
      </c>
      <c r="L11" s="24">
        <v>0</v>
      </c>
      <c r="M11" s="24">
        <v>0</v>
      </c>
      <c r="N11" s="24">
        <v>0</v>
      </c>
      <c r="O11" s="21">
        <v>2214600</v>
      </c>
      <c r="P11" s="21">
        <f>O11</f>
        <v>2214600</v>
      </c>
      <c r="Q11" s="42">
        <v>0</v>
      </c>
    </row>
    <row r="12" spans="1:21" s="43" customFormat="1" ht="59.25" customHeight="1" x14ac:dyDescent="0.3">
      <c r="A12" s="22" t="s">
        <v>52</v>
      </c>
      <c r="B12" s="20" t="s">
        <v>53</v>
      </c>
      <c r="C12" s="24">
        <f t="shared" si="2"/>
        <v>1384125</v>
      </c>
      <c r="D12" s="24">
        <f t="shared" si="2"/>
        <v>1384125</v>
      </c>
      <c r="E12" s="24">
        <f t="shared" si="2"/>
        <v>0</v>
      </c>
      <c r="F12" s="24">
        <v>0</v>
      </c>
      <c r="G12" s="24">
        <v>0</v>
      </c>
      <c r="H12" s="24">
        <v>0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  <c r="O12" s="21">
        <v>1384125</v>
      </c>
      <c r="P12" s="21">
        <f>O12</f>
        <v>1384125</v>
      </c>
      <c r="Q12" s="42">
        <v>0</v>
      </c>
    </row>
    <row r="13" spans="1:21" s="43" customFormat="1" ht="51.75" customHeight="1" x14ac:dyDescent="0.3">
      <c r="A13" s="22" t="s">
        <v>1</v>
      </c>
      <c r="B13" s="20" t="s">
        <v>54</v>
      </c>
      <c r="C13" s="24">
        <f t="shared" si="2"/>
        <v>1660950</v>
      </c>
      <c r="D13" s="24">
        <f t="shared" si="2"/>
        <v>1660950</v>
      </c>
      <c r="E13" s="24">
        <f t="shared" si="2"/>
        <v>0</v>
      </c>
      <c r="F13" s="24">
        <v>0</v>
      </c>
      <c r="G13" s="24">
        <v>0</v>
      </c>
      <c r="H13" s="24">
        <v>0</v>
      </c>
      <c r="I13" s="24">
        <v>0</v>
      </c>
      <c r="J13" s="24">
        <v>0</v>
      </c>
      <c r="K13" s="24">
        <v>0</v>
      </c>
      <c r="L13" s="24">
        <v>0</v>
      </c>
      <c r="M13" s="24">
        <v>0</v>
      </c>
      <c r="N13" s="24">
        <v>0</v>
      </c>
      <c r="O13" s="21">
        <v>1660950</v>
      </c>
      <c r="P13" s="21">
        <f>O13</f>
        <v>1660950</v>
      </c>
      <c r="Q13" s="42">
        <v>0</v>
      </c>
    </row>
    <row r="14" spans="1:21" s="43" customFormat="1" ht="60.75" x14ac:dyDescent="0.3">
      <c r="A14" s="22" t="s">
        <v>55</v>
      </c>
      <c r="B14" s="20" t="s">
        <v>56</v>
      </c>
      <c r="C14" s="24">
        <f t="shared" si="2"/>
        <v>3598725</v>
      </c>
      <c r="D14" s="24">
        <f t="shared" si="2"/>
        <v>3598725</v>
      </c>
      <c r="E14" s="24">
        <f t="shared" si="2"/>
        <v>0</v>
      </c>
      <c r="F14" s="24">
        <v>0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>
        <v>0</v>
      </c>
      <c r="O14" s="21">
        <v>3598725</v>
      </c>
      <c r="P14" s="21">
        <f>O14</f>
        <v>3598725</v>
      </c>
      <c r="Q14" s="42">
        <v>0</v>
      </c>
      <c r="U14" s="58"/>
    </row>
    <row r="15" spans="1:21" s="26" customFormat="1" ht="60.75" x14ac:dyDescent="0.3">
      <c r="A15" s="22" t="s">
        <v>2</v>
      </c>
      <c r="B15" s="20" t="s">
        <v>57</v>
      </c>
      <c r="C15" s="24">
        <v>0</v>
      </c>
      <c r="D15" s="24">
        <v>0</v>
      </c>
      <c r="E15" s="21">
        <f>H15+K15+N15+Q15</f>
        <v>2125960.6349999998</v>
      </c>
      <c r="F15" s="23">
        <v>0</v>
      </c>
      <c r="G15" s="23">
        <f>F15+0</f>
        <v>0</v>
      </c>
      <c r="H15" s="21">
        <v>2125960.6349999998</v>
      </c>
      <c r="I15" s="24">
        <v>0</v>
      </c>
      <c r="J15" s="24">
        <f>I15+0</f>
        <v>0</v>
      </c>
      <c r="K15" s="24">
        <v>0</v>
      </c>
      <c r="L15" s="24">
        <v>0</v>
      </c>
      <c r="M15" s="24">
        <f>L15+0</f>
        <v>0</v>
      </c>
      <c r="N15" s="24">
        <v>0</v>
      </c>
      <c r="O15" s="23">
        <v>0</v>
      </c>
      <c r="P15" s="23">
        <v>0</v>
      </c>
      <c r="Q15" s="25">
        <v>0</v>
      </c>
    </row>
    <row r="16" spans="1:21" s="26" customFormat="1" ht="40.5" x14ac:dyDescent="0.3">
      <c r="A16" s="22" t="s">
        <v>3</v>
      </c>
      <c r="B16" s="20" t="s">
        <v>58</v>
      </c>
      <c r="C16" s="24">
        <f>F16+I16+L16+O16</f>
        <v>0</v>
      </c>
      <c r="D16" s="24">
        <f>C16+0</f>
        <v>0</v>
      </c>
      <c r="E16" s="21">
        <f>H16+K16+N16+Q16</f>
        <v>830475</v>
      </c>
      <c r="F16" s="23">
        <v>0</v>
      </c>
      <c r="G16" s="23">
        <f>F16+0</f>
        <v>0</v>
      </c>
      <c r="H16" s="21">
        <v>830475</v>
      </c>
      <c r="I16" s="24">
        <v>0</v>
      </c>
      <c r="J16" s="24">
        <f>I16+0</f>
        <v>0</v>
      </c>
      <c r="K16" s="24">
        <v>0</v>
      </c>
      <c r="L16" s="24">
        <v>0</v>
      </c>
      <c r="M16" s="24">
        <f>L16+0</f>
        <v>0</v>
      </c>
      <c r="N16" s="24">
        <v>0</v>
      </c>
      <c r="O16" s="23">
        <v>0</v>
      </c>
      <c r="P16" s="23">
        <v>0</v>
      </c>
      <c r="Q16" s="25">
        <v>0</v>
      </c>
    </row>
    <row r="17" spans="1:18" s="2" customFormat="1" ht="40.5" x14ac:dyDescent="0.35">
      <c r="A17" s="22" t="s">
        <v>4</v>
      </c>
      <c r="B17" s="20" t="s">
        <v>59</v>
      </c>
      <c r="C17" s="24">
        <f>F17+I17+L17+O17</f>
        <v>0</v>
      </c>
      <c r="D17" s="24">
        <f>C17+0</f>
        <v>0</v>
      </c>
      <c r="E17" s="21">
        <f>H17+K17+N17+Q17</f>
        <v>1494799.635</v>
      </c>
      <c r="F17" s="23">
        <v>0</v>
      </c>
      <c r="G17" s="23">
        <v>0</v>
      </c>
      <c r="H17" s="21">
        <v>1494799.635</v>
      </c>
      <c r="I17" s="23">
        <v>0</v>
      </c>
      <c r="J17" s="23">
        <v>0</v>
      </c>
      <c r="K17" s="23">
        <v>0</v>
      </c>
      <c r="L17" s="23">
        <v>0</v>
      </c>
      <c r="M17" s="23">
        <v>0</v>
      </c>
      <c r="N17" s="23">
        <v>0</v>
      </c>
      <c r="O17" s="23">
        <v>0</v>
      </c>
      <c r="P17" s="23">
        <v>0</v>
      </c>
      <c r="Q17" s="25">
        <v>0</v>
      </c>
    </row>
    <row r="18" spans="1:18" ht="39.75" customHeight="1" thickBot="1" x14ac:dyDescent="0.4">
      <c r="A18" s="60" t="s">
        <v>60</v>
      </c>
      <c r="B18" s="61"/>
      <c r="C18" s="27">
        <f t="shared" ref="C18:Q18" si="3">SUM(C19:C63)</f>
        <v>30606514.580000002</v>
      </c>
      <c r="D18" s="27">
        <f t="shared" si="3"/>
        <v>31002852.180000003</v>
      </c>
      <c r="E18" s="27">
        <f t="shared" si="3"/>
        <v>4562015.6099999994</v>
      </c>
      <c r="F18" s="27">
        <f t="shared" si="3"/>
        <v>10124085.500000002</v>
      </c>
      <c r="G18" s="27">
        <f t="shared" si="3"/>
        <v>10124085.500000002</v>
      </c>
      <c r="H18" s="27">
        <f t="shared" si="3"/>
        <v>1835790.7</v>
      </c>
      <c r="I18" s="27">
        <f t="shared" si="3"/>
        <v>7707107.8999999994</v>
      </c>
      <c r="J18" s="27">
        <f t="shared" si="3"/>
        <v>8077107.8999999994</v>
      </c>
      <c r="K18" s="27">
        <f t="shared" si="3"/>
        <v>1338424.5499999998</v>
      </c>
      <c r="L18" s="27">
        <f t="shared" si="3"/>
        <v>6384909.6000000006</v>
      </c>
      <c r="M18" s="27">
        <f t="shared" si="3"/>
        <v>6411247.2000000002</v>
      </c>
      <c r="N18" s="27">
        <f t="shared" si="3"/>
        <v>1387800.3599999999</v>
      </c>
      <c r="O18" s="27">
        <f t="shared" si="3"/>
        <v>6390411.5800000001</v>
      </c>
      <c r="P18" s="27">
        <f t="shared" si="3"/>
        <v>6390411.5800000001</v>
      </c>
      <c r="Q18" s="28">
        <f t="shared" si="3"/>
        <v>0</v>
      </c>
    </row>
    <row r="19" spans="1:18" ht="55.5" customHeight="1" x14ac:dyDescent="0.35">
      <c r="A19" s="44" t="s">
        <v>50</v>
      </c>
      <c r="B19" s="45" t="s">
        <v>20</v>
      </c>
      <c r="C19" s="46">
        <f t="shared" ref="C19:E34" si="4">F19+I19+L19+O19</f>
        <v>48023</v>
      </c>
      <c r="D19" s="46">
        <f t="shared" si="4"/>
        <v>48023</v>
      </c>
      <c r="E19" s="46">
        <f t="shared" si="4"/>
        <v>0</v>
      </c>
      <c r="F19" s="47">
        <v>12000</v>
      </c>
      <c r="G19" s="48">
        <f>F19+0</f>
        <v>12000</v>
      </c>
      <c r="H19" s="46">
        <v>0</v>
      </c>
      <c r="I19" s="47">
        <f>24000-F19</f>
        <v>12000</v>
      </c>
      <c r="J19" s="48">
        <f>I19+0</f>
        <v>12000</v>
      </c>
      <c r="K19" s="46">
        <v>0</v>
      </c>
      <c r="L19" s="47">
        <f>36000-24000</f>
        <v>12000</v>
      </c>
      <c r="M19" s="48">
        <f>L19+0</f>
        <v>12000</v>
      </c>
      <c r="N19" s="48"/>
      <c r="O19" s="47">
        <f>48023-36000</f>
        <v>12023</v>
      </c>
      <c r="P19" s="48">
        <f>O19+0</f>
        <v>12023</v>
      </c>
      <c r="Q19" s="49"/>
    </row>
    <row r="20" spans="1:18" ht="62.25" customHeight="1" x14ac:dyDescent="0.35">
      <c r="A20" s="29" t="s">
        <v>52</v>
      </c>
      <c r="B20" s="20" t="s">
        <v>21</v>
      </c>
      <c r="C20" s="31">
        <f t="shared" si="4"/>
        <v>1200575</v>
      </c>
      <c r="D20" s="31">
        <f t="shared" si="4"/>
        <v>1200575</v>
      </c>
      <c r="E20" s="31">
        <f t="shared" si="4"/>
        <v>0</v>
      </c>
      <c r="F20" s="32">
        <v>300140.7</v>
      </c>
      <c r="G20" s="33">
        <f t="shared" ref="G20:G62" si="5">F20+0</f>
        <v>300140.7</v>
      </c>
      <c r="H20" s="31">
        <v>0</v>
      </c>
      <c r="I20" s="32">
        <f>600281.4-F20</f>
        <v>300140.7</v>
      </c>
      <c r="J20" s="33">
        <f t="shared" ref="J20:J63" si="6">I20+0</f>
        <v>300140.7</v>
      </c>
      <c r="K20" s="31">
        <v>0</v>
      </c>
      <c r="L20" s="32">
        <f>900422.1-600281.4</f>
        <v>300140.69999999995</v>
      </c>
      <c r="M20" s="33">
        <f t="shared" ref="M20:M63" si="7">L20+0</f>
        <v>300140.69999999995</v>
      </c>
      <c r="N20" s="33"/>
      <c r="O20" s="32">
        <f>1200575-900422.1</f>
        <v>300152.90000000002</v>
      </c>
      <c r="P20" s="33">
        <f t="shared" ref="P20:P63" si="8">O20+0</f>
        <v>300152.90000000002</v>
      </c>
      <c r="Q20" s="34"/>
    </row>
    <row r="21" spans="1:18" ht="63.75" customHeight="1" x14ac:dyDescent="0.35">
      <c r="A21" s="30" t="s">
        <v>1</v>
      </c>
      <c r="B21" s="30" t="s">
        <v>61</v>
      </c>
      <c r="C21" s="31">
        <f t="shared" si="4"/>
        <v>4802.7</v>
      </c>
      <c r="D21" s="31">
        <f t="shared" si="4"/>
        <v>4802.7</v>
      </c>
      <c r="E21" s="31">
        <f>H21+K21+N21+Q21</f>
        <v>50548</v>
      </c>
      <c r="F21" s="32">
        <v>2612.6999999999998</v>
      </c>
      <c r="G21" s="33">
        <f t="shared" si="5"/>
        <v>2612.6999999999998</v>
      </c>
      <c r="H21" s="33">
        <v>38557.800000000003</v>
      </c>
      <c r="I21" s="32">
        <f>3262.7-2612.7</f>
        <v>650</v>
      </c>
      <c r="J21" s="33">
        <f t="shared" si="6"/>
        <v>650</v>
      </c>
      <c r="K21" s="31">
        <v>5995.1</v>
      </c>
      <c r="L21" s="32">
        <f>3912.7-3262.7</f>
        <v>650</v>
      </c>
      <c r="M21" s="33">
        <f t="shared" si="7"/>
        <v>650</v>
      </c>
      <c r="N21" s="33">
        <v>5995.1</v>
      </c>
      <c r="O21" s="32">
        <f>4802.7-3912.7</f>
        <v>890</v>
      </c>
      <c r="P21" s="33">
        <f t="shared" si="8"/>
        <v>890</v>
      </c>
      <c r="Q21" s="34"/>
      <c r="R21" s="35"/>
    </row>
    <row r="22" spans="1:18" ht="59.25" customHeight="1" x14ac:dyDescent="0.35">
      <c r="A22" s="30" t="s">
        <v>55</v>
      </c>
      <c r="B22" s="30" t="s">
        <v>62</v>
      </c>
      <c r="C22" s="31">
        <f t="shared" si="4"/>
        <v>8806.9</v>
      </c>
      <c r="D22" s="31">
        <f t="shared" si="4"/>
        <v>8806.9</v>
      </c>
      <c r="E22" s="31">
        <f>H22+K22+N22+Q22</f>
        <v>0</v>
      </c>
      <c r="F22" s="32">
        <v>8806.9</v>
      </c>
      <c r="G22" s="33">
        <f t="shared" si="5"/>
        <v>8806.9</v>
      </c>
      <c r="H22" s="33"/>
      <c r="I22" s="32">
        <f>8806.9-F22</f>
        <v>0</v>
      </c>
      <c r="J22" s="33">
        <f t="shared" si="6"/>
        <v>0</v>
      </c>
      <c r="K22" s="31"/>
      <c r="L22" s="32">
        <v>0</v>
      </c>
      <c r="M22" s="33">
        <f t="shared" si="7"/>
        <v>0</v>
      </c>
      <c r="N22" s="33"/>
      <c r="O22" s="32">
        <v>0</v>
      </c>
      <c r="P22" s="33">
        <f t="shared" si="8"/>
        <v>0</v>
      </c>
      <c r="Q22" s="34"/>
      <c r="R22" s="35"/>
    </row>
    <row r="23" spans="1:18" ht="65.25" customHeight="1" x14ac:dyDescent="0.35">
      <c r="A23" s="30" t="s">
        <v>2</v>
      </c>
      <c r="B23" s="30" t="s">
        <v>22</v>
      </c>
      <c r="C23" s="31">
        <f t="shared" si="4"/>
        <v>613192.6</v>
      </c>
      <c r="D23" s="31">
        <f t="shared" si="4"/>
        <v>613192.6</v>
      </c>
      <c r="E23" s="31">
        <f>H23+K23+N23+Q23</f>
        <v>0</v>
      </c>
      <c r="F23" s="32">
        <v>8831.7000000000007</v>
      </c>
      <c r="G23" s="33">
        <f t="shared" si="5"/>
        <v>8831.7000000000007</v>
      </c>
      <c r="H23" s="31"/>
      <c r="I23" s="32">
        <f>213913.5-8831.7</f>
        <v>205081.8</v>
      </c>
      <c r="J23" s="33">
        <f t="shared" si="6"/>
        <v>205081.8</v>
      </c>
      <c r="K23" s="31"/>
      <c r="L23" s="32">
        <f>569295.3-213913.5</f>
        <v>355381.80000000005</v>
      </c>
      <c r="M23" s="33">
        <f t="shared" si="7"/>
        <v>355381.80000000005</v>
      </c>
      <c r="N23" s="33"/>
      <c r="O23" s="32">
        <f>613192.6-569295.3</f>
        <v>43897.29999999993</v>
      </c>
      <c r="P23" s="33">
        <f t="shared" si="8"/>
        <v>43897.29999999993</v>
      </c>
      <c r="Q23" s="34"/>
    </row>
    <row r="24" spans="1:18" ht="57.75" customHeight="1" thickBot="1" x14ac:dyDescent="0.4">
      <c r="A24" s="29" t="s">
        <v>3</v>
      </c>
      <c r="B24" s="30" t="s">
        <v>63</v>
      </c>
      <c r="C24" s="31">
        <f t="shared" si="4"/>
        <v>110452.9</v>
      </c>
      <c r="D24" s="31">
        <f t="shared" si="4"/>
        <v>110452.9</v>
      </c>
      <c r="E24" s="31">
        <f>H24+K24+N24+Q24</f>
        <v>9342.1999999999989</v>
      </c>
      <c r="F24" s="32">
        <v>44181.2</v>
      </c>
      <c r="G24" s="33">
        <f t="shared" si="5"/>
        <v>44181.2</v>
      </c>
      <c r="H24" s="31">
        <v>0</v>
      </c>
      <c r="I24" s="32">
        <f>88362.4-44181.2</f>
        <v>44181.2</v>
      </c>
      <c r="J24" s="33">
        <f t="shared" si="6"/>
        <v>44181.2</v>
      </c>
      <c r="K24" s="31">
        <v>1021.06</v>
      </c>
      <c r="L24" s="32">
        <f>93885-88362.4</f>
        <v>5522.6000000000058</v>
      </c>
      <c r="M24" s="33">
        <f t="shared" si="7"/>
        <v>5522.6000000000058</v>
      </c>
      <c r="N24" s="33">
        <v>8321.14</v>
      </c>
      <c r="O24" s="32">
        <f>110452.9-93885</f>
        <v>16567.899999999994</v>
      </c>
      <c r="P24" s="33">
        <f t="shared" si="8"/>
        <v>16567.899999999994</v>
      </c>
      <c r="Q24" s="34"/>
    </row>
    <row r="25" spans="1:18" ht="72.75" customHeight="1" x14ac:dyDescent="0.35">
      <c r="A25" s="44" t="s">
        <v>4</v>
      </c>
      <c r="B25" s="20" t="s">
        <v>64</v>
      </c>
      <c r="C25" s="31">
        <f t="shared" si="4"/>
        <v>79958.3</v>
      </c>
      <c r="D25" s="31">
        <f t="shared" si="4"/>
        <v>79958.3</v>
      </c>
      <c r="E25" s="31">
        <f>H25+K25+N25+Q25</f>
        <v>36963.200000000004</v>
      </c>
      <c r="F25" s="32">
        <v>56934.7</v>
      </c>
      <c r="G25" s="33">
        <f t="shared" si="5"/>
        <v>56934.7</v>
      </c>
      <c r="H25" s="31">
        <v>22139.5</v>
      </c>
      <c r="I25" s="32">
        <f>75124.7-56934.7</f>
        <v>18190</v>
      </c>
      <c r="J25" s="33">
        <f t="shared" si="6"/>
        <v>18190</v>
      </c>
      <c r="K25" s="31">
        <v>12657.69</v>
      </c>
      <c r="L25" s="32">
        <f>77296-75124.7</f>
        <v>2171.3000000000029</v>
      </c>
      <c r="M25" s="33">
        <f t="shared" si="7"/>
        <v>2171.3000000000029</v>
      </c>
      <c r="N25" s="33">
        <v>2166.0100000000002</v>
      </c>
      <c r="O25" s="32">
        <f>79958.3-77296</f>
        <v>2662.3000000000029</v>
      </c>
      <c r="P25" s="33">
        <f t="shared" si="8"/>
        <v>2662.3000000000029</v>
      </c>
      <c r="Q25" s="34"/>
    </row>
    <row r="26" spans="1:18" ht="52.5" customHeight="1" x14ac:dyDescent="0.35">
      <c r="A26" s="20" t="s">
        <v>5</v>
      </c>
      <c r="B26" s="20" t="s">
        <v>65</v>
      </c>
      <c r="C26" s="31">
        <f t="shared" si="4"/>
        <v>1750372.5</v>
      </c>
      <c r="D26" s="31">
        <f t="shared" si="4"/>
        <v>1750372.5</v>
      </c>
      <c r="E26" s="31">
        <f t="shared" si="4"/>
        <v>0</v>
      </c>
      <c r="F26" s="32">
        <v>0</v>
      </c>
      <c r="G26" s="33">
        <f t="shared" si="5"/>
        <v>0</v>
      </c>
      <c r="H26" s="31"/>
      <c r="I26" s="32">
        <v>700149</v>
      </c>
      <c r="J26" s="33">
        <f t="shared" si="6"/>
        <v>700149</v>
      </c>
      <c r="K26" s="31"/>
      <c r="L26" s="32">
        <f>1312779.4-700149</f>
        <v>612630.39999999991</v>
      </c>
      <c r="M26" s="33">
        <f t="shared" si="7"/>
        <v>612630.39999999991</v>
      </c>
      <c r="N26" s="33"/>
      <c r="O26" s="32">
        <f>1750372.5-1312779.4</f>
        <v>437593.10000000009</v>
      </c>
      <c r="P26" s="33">
        <f t="shared" si="8"/>
        <v>437593.10000000009</v>
      </c>
      <c r="Q26" s="34"/>
    </row>
    <row r="27" spans="1:18" ht="52.5" customHeight="1" x14ac:dyDescent="0.35">
      <c r="A27" s="20" t="s">
        <v>6</v>
      </c>
      <c r="B27" s="20" t="s">
        <v>66</v>
      </c>
      <c r="C27" s="31">
        <f t="shared" si="4"/>
        <v>126300.5</v>
      </c>
      <c r="D27" s="31">
        <f t="shared" si="4"/>
        <v>126300.5</v>
      </c>
      <c r="E27" s="31">
        <f t="shared" si="4"/>
        <v>0</v>
      </c>
      <c r="F27" s="32">
        <v>25000</v>
      </c>
      <c r="G27" s="33">
        <f t="shared" si="5"/>
        <v>25000</v>
      </c>
      <c r="H27" s="31"/>
      <c r="I27" s="32">
        <f>30700-25000</f>
        <v>5700</v>
      </c>
      <c r="J27" s="33">
        <f t="shared" si="6"/>
        <v>5700</v>
      </c>
      <c r="K27" s="31"/>
      <c r="L27" s="32">
        <f>0</f>
        <v>0</v>
      </c>
      <c r="M27" s="33">
        <f t="shared" si="7"/>
        <v>0</v>
      </c>
      <c r="N27" s="33"/>
      <c r="O27" s="32">
        <f>126300.5-30700</f>
        <v>95600.5</v>
      </c>
      <c r="P27" s="33">
        <f t="shared" si="8"/>
        <v>95600.5</v>
      </c>
      <c r="Q27" s="34"/>
    </row>
    <row r="28" spans="1:18" ht="66" customHeight="1" x14ac:dyDescent="0.35">
      <c r="A28" s="20" t="s">
        <v>7</v>
      </c>
      <c r="B28" s="20" t="s">
        <v>67</v>
      </c>
      <c r="C28" s="31">
        <f t="shared" si="4"/>
        <v>893996.2</v>
      </c>
      <c r="D28" s="31">
        <f t="shared" si="4"/>
        <v>893996.2</v>
      </c>
      <c r="E28" s="31">
        <f t="shared" si="4"/>
        <v>0</v>
      </c>
      <c r="F28" s="32">
        <v>0</v>
      </c>
      <c r="G28" s="33">
        <f t="shared" si="5"/>
        <v>0</v>
      </c>
      <c r="H28" s="31"/>
      <c r="I28" s="32">
        <v>0</v>
      </c>
      <c r="J28" s="33">
        <f t="shared" si="6"/>
        <v>0</v>
      </c>
      <c r="K28" s="31"/>
      <c r="L28" s="32">
        <v>0</v>
      </c>
      <c r="M28" s="33">
        <f t="shared" si="7"/>
        <v>0</v>
      </c>
      <c r="N28" s="33"/>
      <c r="O28" s="32">
        <v>893996.2</v>
      </c>
      <c r="P28" s="33">
        <f t="shared" si="8"/>
        <v>893996.2</v>
      </c>
      <c r="Q28" s="34"/>
    </row>
    <row r="29" spans="1:18" ht="59.25" customHeight="1" x14ac:dyDescent="0.35">
      <c r="A29" s="20" t="s">
        <v>8</v>
      </c>
      <c r="B29" s="20" t="s">
        <v>68</v>
      </c>
      <c r="C29" s="31">
        <f t="shared" si="4"/>
        <v>223499</v>
      </c>
      <c r="D29" s="31">
        <f t="shared" si="4"/>
        <v>223499</v>
      </c>
      <c r="E29" s="31">
        <f t="shared" si="4"/>
        <v>0</v>
      </c>
      <c r="F29" s="32">
        <v>0</v>
      </c>
      <c r="G29" s="33">
        <f t="shared" si="5"/>
        <v>0</v>
      </c>
      <c r="H29" s="31"/>
      <c r="I29" s="32"/>
      <c r="J29" s="33">
        <f t="shared" si="6"/>
        <v>0</v>
      </c>
      <c r="K29" s="31"/>
      <c r="L29" s="32"/>
      <c r="M29" s="33">
        <f t="shared" si="7"/>
        <v>0</v>
      </c>
      <c r="N29" s="33"/>
      <c r="O29" s="32">
        <v>223499</v>
      </c>
      <c r="P29" s="33">
        <f t="shared" si="8"/>
        <v>223499</v>
      </c>
      <c r="Q29" s="34"/>
    </row>
    <row r="30" spans="1:18" ht="78" customHeight="1" x14ac:dyDescent="0.35">
      <c r="A30" s="29" t="s">
        <v>9</v>
      </c>
      <c r="B30" s="20" t="s">
        <v>69</v>
      </c>
      <c r="C30" s="31">
        <f t="shared" si="4"/>
        <v>171718.9</v>
      </c>
      <c r="D30" s="31">
        <f t="shared" si="4"/>
        <v>171718.9</v>
      </c>
      <c r="E30" s="31">
        <f t="shared" si="4"/>
        <v>186438</v>
      </c>
      <c r="F30" s="32">
        <v>51515.7</v>
      </c>
      <c r="G30" s="33">
        <f t="shared" si="5"/>
        <v>51515.7</v>
      </c>
      <c r="H30" s="31">
        <v>120000</v>
      </c>
      <c r="I30" s="32">
        <f>85859.4-F30</f>
        <v>34343.699999999997</v>
      </c>
      <c r="J30" s="33">
        <f t="shared" si="6"/>
        <v>34343.699999999997</v>
      </c>
      <c r="K30" s="31">
        <v>66438</v>
      </c>
      <c r="L30" s="32">
        <f>128789.2-85859.4</f>
        <v>42929.8</v>
      </c>
      <c r="M30" s="33">
        <f t="shared" si="7"/>
        <v>42929.8</v>
      </c>
      <c r="N30" s="33"/>
      <c r="O30" s="32">
        <f>171718.9-128789.2</f>
        <v>42929.7</v>
      </c>
      <c r="P30" s="33">
        <f t="shared" si="8"/>
        <v>42929.7</v>
      </c>
      <c r="Q30" s="34"/>
    </row>
    <row r="31" spans="1:18" ht="63" customHeight="1" x14ac:dyDescent="0.35">
      <c r="A31" s="20" t="s">
        <v>10</v>
      </c>
      <c r="B31" s="20" t="s">
        <v>23</v>
      </c>
      <c r="C31" s="31">
        <f t="shared" si="4"/>
        <v>532589</v>
      </c>
      <c r="D31" s="31">
        <f t="shared" si="4"/>
        <v>532589</v>
      </c>
      <c r="E31" s="31">
        <f t="shared" si="4"/>
        <v>0</v>
      </c>
      <c r="F31" s="32">
        <v>133147.29999999999</v>
      </c>
      <c r="G31" s="33">
        <f t="shared" si="5"/>
        <v>133147.29999999999</v>
      </c>
      <c r="H31" s="31"/>
      <c r="I31" s="32">
        <f>266294.6-F31</f>
        <v>133147.29999999999</v>
      </c>
      <c r="J31" s="33">
        <f t="shared" si="6"/>
        <v>133147.29999999999</v>
      </c>
      <c r="K31" s="31"/>
      <c r="L31" s="32">
        <f>399441.9-266294.6</f>
        <v>133147.30000000005</v>
      </c>
      <c r="M31" s="33">
        <f t="shared" si="7"/>
        <v>133147.30000000005</v>
      </c>
      <c r="N31" s="33"/>
      <c r="O31" s="32">
        <f>532589-399441.9</f>
        <v>133147.09999999998</v>
      </c>
      <c r="P31" s="33">
        <f t="shared" si="8"/>
        <v>133147.09999999998</v>
      </c>
      <c r="Q31" s="34"/>
    </row>
    <row r="32" spans="1:18" ht="55.5" customHeight="1" x14ac:dyDescent="0.35">
      <c r="A32" s="20" t="s">
        <v>11</v>
      </c>
      <c r="B32" s="30" t="s">
        <v>24</v>
      </c>
      <c r="C32" s="31">
        <f t="shared" si="4"/>
        <v>121403.4</v>
      </c>
      <c r="D32" s="31">
        <f t="shared" si="4"/>
        <v>121403.4</v>
      </c>
      <c r="E32" s="31">
        <f t="shared" si="4"/>
        <v>22010.400000000001</v>
      </c>
      <c r="F32" s="32">
        <v>30350.9</v>
      </c>
      <c r="G32" s="32">
        <v>30350.9</v>
      </c>
      <c r="H32" s="33">
        <v>22010.400000000001</v>
      </c>
      <c r="I32" s="32">
        <f>91052.6-F32</f>
        <v>60701.700000000004</v>
      </c>
      <c r="J32" s="33">
        <f t="shared" si="6"/>
        <v>60701.700000000004</v>
      </c>
      <c r="K32" s="33"/>
      <c r="L32" s="32">
        <f>121403.4-91052.6</f>
        <v>30350.799999999988</v>
      </c>
      <c r="M32" s="33">
        <f t="shared" si="7"/>
        <v>30350.799999999988</v>
      </c>
      <c r="N32" s="33"/>
      <c r="O32" s="32">
        <f>121403.4-121403.4</f>
        <v>0</v>
      </c>
      <c r="P32" s="33">
        <f t="shared" si="8"/>
        <v>0</v>
      </c>
      <c r="Q32" s="34"/>
    </row>
    <row r="33" spans="1:18" ht="55.5" customHeight="1" x14ac:dyDescent="0.35">
      <c r="A33" s="20" t="s">
        <v>12</v>
      </c>
      <c r="B33" s="30" t="s">
        <v>70</v>
      </c>
      <c r="C33" s="31">
        <f t="shared" si="4"/>
        <v>900191.1</v>
      </c>
      <c r="D33" s="31">
        <f t="shared" si="4"/>
        <v>900191.1</v>
      </c>
      <c r="E33" s="31">
        <f t="shared" si="4"/>
        <v>0</v>
      </c>
      <c r="F33" s="32">
        <v>180038.2</v>
      </c>
      <c r="G33" s="33">
        <f t="shared" si="5"/>
        <v>180038.2</v>
      </c>
      <c r="H33" s="31"/>
      <c r="I33" s="32">
        <f>420089.2-F33</f>
        <v>240051</v>
      </c>
      <c r="J33" s="33">
        <f t="shared" si="6"/>
        <v>240051</v>
      </c>
      <c r="K33" s="31"/>
      <c r="L33" s="32">
        <f>660140.2-420089.2</f>
        <v>240050.99999999994</v>
      </c>
      <c r="M33" s="33">
        <f t="shared" si="7"/>
        <v>240050.99999999994</v>
      </c>
      <c r="N33" s="33"/>
      <c r="O33" s="32">
        <f>900191.1-660140.2</f>
        <v>240050.90000000002</v>
      </c>
      <c r="P33" s="33">
        <f t="shared" si="8"/>
        <v>240050.90000000002</v>
      </c>
      <c r="Q33" s="34"/>
    </row>
    <row r="34" spans="1:18" ht="64.5" customHeight="1" thickBot="1" x14ac:dyDescent="0.4">
      <c r="A34" s="29" t="s">
        <v>13</v>
      </c>
      <c r="B34" s="30" t="s">
        <v>71</v>
      </c>
      <c r="C34" s="31">
        <f t="shared" si="4"/>
        <v>299130</v>
      </c>
      <c r="D34" s="31">
        <f t="shared" si="4"/>
        <v>299130</v>
      </c>
      <c r="E34" s="31">
        <f t="shared" si="4"/>
        <v>99771.1</v>
      </c>
      <c r="F34" s="32">
        <v>74782.5</v>
      </c>
      <c r="G34" s="33">
        <f t="shared" si="5"/>
        <v>74782.5</v>
      </c>
      <c r="H34" s="31"/>
      <c r="I34" s="32">
        <f>179478-F34</f>
        <v>104695.5</v>
      </c>
      <c r="J34" s="33">
        <f t="shared" si="6"/>
        <v>104695.5</v>
      </c>
      <c r="K34" s="31">
        <v>99771.1</v>
      </c>
      <c r="L34" s="32">
        <f>239304-179478</f>
        <v>59826</v>
      </c>
      <c r="M34" s="33">
        <f t="shared" si="7"/>
        <v>59826</v>
      </c>
      <c r="N34" s="33"/>
      <c r="O34" s="32">
        <f>299130-239304</f>
        <v>59826</v>
      </c>
      <c r="P34" s="33">
        <f t="shared" si="8"/>
        <v>59826</v>
      </c>
      <c r="Q34" s="34"/>
    </row>
    <row r="35" spans="1:18" ht="61.5" customHeight="1" x14ac:dyDescent="0.35">
      <c r="A35" s="44" t="s">
        <v>14</v>
      </c>
      <c r="B35" s="30" t="s">
        <v>72</v>
      </c>
      <c r="C35" s="31">
        <f t="shared" ref="C35:E63" si="9">F35+I35+L35+O35</f>
        <v>1534000</v>
      </c>
      <c r="D35" s="31">
        <f t="shared" si="9"/>
        <v>1534000</v>
      </c>
      <c r="E35" s="31">
        <f t="shared" si="9"/>
        <v>344528.9</v>
      </c>
      <c r="F35" s="32">
        <v>536900</v>
      </c>
      <c r="G35" s="33">
        <f t="shared" si="5"/>
        <v>536900</v>
      </c>
      <c r="H35" s="31">
        <v>141792.6</v>
      </c>
      <c r="I35" s="32">
        <f>1073800-536900</f>
        <v>536900</v>
      </c>
      <c r="J35" s="33">
        <f t="shared" si="6"/>
        <v>536900</v>
      </c>
      <c r="K35" s="31">
        <v>100946.5</v>
      </c>
      <c r="L35" s="32">
        <f>1303900-1073800</f>
        <v>230100</v>
      </c>
      <c r="M35" s="33">
        <f t="shared" si="7"/>
        <v>230100</v>
      </c>
      <c r="N35" s="33">
        <v>101789.8</v>
      </c>
      <c r="O35" s="32">
        <f>1534000-1303900</f>
        <v>230100</v>
      </c>
      <c r="P35" s="33">
        <f t="shared" si="8"/>
        <v>230100</v>
      </c>
      <c r="Q35" s="34"/>
    </row>
    <row r="36" spans="1:18" ht="63.75" customHeight="1" x14ac:dyDescent="0.35">
      <c r="A36" s="29" t="s">
        <v>15</v>
      </c>
      <c r="B36" s="30" t="s">
        <v>25</v>
      </c>
      <c r="C36" s="31">
        <f t="shared" si="9"/>
        <v>4177473.8800000004</v>
      </c>
      <c r="D36" s="31">
        <f t="shared" si="9"/>
        <v>4177473.8800000004</v>
      </c>
      <c r="E36" s="31">
        <f t="shared" si="9"/>
        <v>1836750.3</v>
      </c>
      <c r="F36" s="32">
        <v>1044368.4</v>
      </c>
      <c r="G36" s="33">
        <f t="shared" si="5"/>
        <v>1044368.4</v>
      </c>
      <c r="H36" s="31">
        <v>918521.6</v>
      </c>
      <c r="I36" s="32">
        <f>2088736.8-1044368.4</f>
        <v>1044368.4</v>
      </c>
      <c r="J36" s="33">
        <f t="shared" si="6"/>
        <v>1044368.4</v>
      </c>
      <c r="K36" s="31">
        <v>491684.2</v>
      </c>
      <c r="L36" s="32">
        <f>3133105.2-2088736.8</f>
        <v>1044368.4000000001</v>
      </c>
      <c r="M36" s="33">
        <f t="shared" si="7"/>
        <v>1044368.4000000001</v>
      </c>
      <c r="N36" s="33">
        <v>426544.5</v>
      </c>
      <c r="O36" s="32">
        <f>4177473.7-3133105.02</f>
        <v>1044368.6800000002</v>
      </c>
      <c r="P36" s="33">
        <f t="shared" si="8"/>
        <v>1044368.6800000002</v>
      </c>
      <c r="Q36" s="34"/>
    </row>
    <row r="37" spans="1:18" ht="77.25" customHeight="1" x14ac:dyDescent="0.35">
      <c r="A37" s="30" t="s">
        <v>16</v>
      </c>
      <c r="B37" s="30" t="s">
        <v>73</v>
      </c>
      <c r="C37" s="31">
        <f t="shared" si="9"/>
        <v>340588.6</v>
      </c>
      <c r="D37" s="31">
        <f t="shared" si="9"/>
        <v>340588.6</v>
      </c>
      <c r="E37" s="31">
        <f t="shared" ref="E37:E45" si="10">H37+K37+N37+Q37</f>
        <v>73584.2</v>
      </c>
      <c r="F37" s="32">
        <v>69235.899999999994</v>
      </c>
      <c r="G37" s="33">
        <f t="shared" si="5"/>
        <v>69235.899999999994</v>
      </c>
      <c r="H37" s="31">
        <v>0</v>
      </c>
      <c r="I37" s="32">
        <f>170151.8-69235.9</f>
        <v>100915.9</v>
      </c>
      <c r="J37" s="33">
        <f t="shared" si="6"/>
        <v>100915.9</v>
      </c>
      <c r="K37" s="31">
        <v>36792.1</v>
      </c>
      <c r="L37" s="32">
        <f>239387.7-170151.8</f>
        <v>69235.900000000023</v>
      </c>
      <c r="M37" s="33">
        <f t="shared" si="7"/>
        <v>69235.900000000023</v>
      </c>
      <c r="N37" s="33">
        <v>36792.1</v>
      </c>
      <c r="O37" s="33">
        <f>340588.6-239387.7</f>
        <v>101200.89999999997</v>
      </c>
      <c r="P37" s="33">
        <f t="shared" si="8"/>
        <v>101200.89999999997</v>
      </c>
      <c r="Q37" s="34"/>
    </row>
    <row r="38" spans="1:18" ht="70.5" customHeight="1" x14ac:dyDescent="0.35">
      <c r="A38" s="30" t="s">
        <v>17</v>
      </c>
      <c r="B38" s="30" t="s">
        <v>74</v>
      </c>
      <c r="C38" s="31">
        <f t="shared" si="9"/>
        <v>769535.29999999981</v>
      </c>
      <c r="D38" s="31">
        <f t="shared" si="9"/>
        <v>769535.29999999981</v>
      </c>
      <c r="E38" s="31">
        <f t="shared" si="10"/>
        <v>159657.79999999999</v>
      </c>
      <c r="F38" s="32">
        <v>419154.39999999997</v>
      </c>
      <c r="G38" s="32">
        <v>419154.39999999997</v>
      </c>
      <c r="H38" s="32">
        <v>159657.79999999999</v>
      </c>
      <c r="I38" s="32">
        <v>234928.19999999995</v>
      </c>
      <c r="J38" s="32">
        <v>234928.19999999995</v>
      </c>
      <c r="K38" s="32">
        <v>0</v>
      </c>
      <c r="L38" s="32">
        <v>101030.40000000001</v>
      </c>
      <c r="M38" s="32">
        <v>101030.40000000001</v>
      </c>
      <c r="N38" s="32">
        <v>0</v>
      </c>
      <c r="O38" s="32">
        <v>14422.299999999988</v>
      </c>
      <c r="P38" s="32">
        <v>14422.299999999988</v>
      </c>
      <c r="Q38" s="32">
        <v>0</v>
      </c>
      <c r="R38" s="35"/>
    </row>
    <row r="39" spans="1:18" ht="66.75" customHeight="1" x14ac:dyDescent="0.35">
      <c r="A39" s="30" t="s">
        <v>18</v>
      </c>
      <c r="B39" s="30" t="s">
        <v>75</v>
      </c>
      <c r="C39" s="31">
        <f t="shared" si="9"/>
        <v>669608.30000000016</v>
      </c>
      <c r="D39" s="31">
        <f t="shared" si="9"/>
        <v>669608.30000000016</v>
      </c>
      <c r="E39" s="31">
        <f t="shared" si="10"/>
        <v>585046.9</v>
      </c>
      <c r="F39" s="32">
        <v>305200</v>
      </c>
      <c r="G39" s="32">
        <v>305200</v>
      </c>
      <c r="H39" s="32">
        <v>136700.5</v>
      </c>
      <c r="I39" s="32">
        <v>300833.60000000003</v>
      </c>
      <c r="J39" s="32">
        <v>300833.60000000003</v>
      </c>
      <c r="K39" s="32">
        <v>247311.4</v>
      </c>
      <c r="L39" s="32">
        <v>31787.299999999992</v>
      </c>
      <c r="M39" s="32">
        <v>31787.299999999992</v>
      </c>
      <c r="N39" s="32">
        <v>201035</v>
      </c>
      <c r="O39" s="32">
        <v>31787.399999999969</v>
      </c>
      <c r="P39" s="32">
        <v>31787.399999999969</v>
      </c>
      <c r="Q39" s="32">
        <v>0</v>
      </c>
    </row>
    <row r="40" spans="1:18" ht="66.75" customHeight="1" x14ac:dyDescent="0.35">
      <c r="A40" s="29" t="s">
        <v>19</v>
      </c>
      <c r="B40" s="30" t="s">
        <v>26</v>
      </c>
      <c r="C40" s="31">
        <f t="shared" si="9"/>
        <v>346498</v>
      </c>
      <c r="D40" s="31">
        <f t="shared" si="9"/>
        <v>346498</v>
      </c>
      <c r="E40" s="31">
        <f t="shared" si="10"/>
        <v>0</v>
      </c>
      <c r="F40" s="32">
        <v>219270.39999999999</v>
      </c>
      <c r="G40" s="32">
        <v>219270.39999999999</v>
      </c>
      <c r="H40" s="32">
        <v>0</v>
      </c>
      <c r="I40" s="32">
        <v>31697</v>
      </c>
      <c r="J40" s="32">
        <v>31697</v>
      </c>
      <c r="K40" s="32">
        <v>0</v>
      </c>
      <c r="L40" s="32">
        <v>47764.4</v>
      </c>
      <c r="M40" s="32">
        <v>47764.4</v>
      </c>
      <c r="N40" s="32">
        <v>0</v>
      </c>
      <c r="O40" s="32">
        <v>47766.2</v>
      </c>
      <c r="P40" s="32">
        <v>47766.2</v>
      </c>
      <c r="Q40" s="32">
        <v>0</v>
      </c>
    </row>
    <row r="41" spans="1:18" ht="83.25" customHeight="1" x14ac:dyDescent="0.35">
      <c r="A41" s="30" t="s">
        <v>107</v>
      </c>
      <c r="B41" s="30" t="s">
        <v>78</v>
      </c>
      <c r="C41" s="31">
        <f t="shared" si="9"/>
        <v>796931.9</v>
      </c>
      <c r="D41" s="31">
        <f t="shared" si="9"/>
        <v>796931.9</v>
      </c>
      <c r="E41" s="31">
        <f t="shared" si="10"/>
        <v>462041.76</v>
      </c>
      <c r="F41" s="32">
        <v>175325</v>
      </c>
      <c r="G41" s="33">
        <f t="shared" si="5"/>
        <v>175325</v>
      </c>
      <c r="H41" s="33">
        <v>231020.88</v>
      </c>
      <c r="I41" s="32">
        <f>358619.4-F41</f>
        <v>183294.40000000002</v>
      </c>
      <c r="J41" s="33">
        <f t="shared" si="6"/>
        <v>183294.40000000002</v>
      </c>
      <c r="K41" s="33">
        <v>231020.88</v>
      </c>
      <c r="L41" s="32">
        <f>637545.6-358619.4</f>
        <v>278926.19999999995</v>
      </c>
      <c r="M41" s="33">
        <f t="shared" si="7"/>
        <v>278926.19999999995</v>
      </c>
      <c r="N41" s="33"/>
      <c r="O41" s="32">
        <f>796931.9-637545.6</f>
        <v>159386.30000000005</v>
      </c>
      <c r="P41" s="33">
        <f t="shared" si="8"/>
        <v>159386.30000000005</v>
      </c>
      <c r="Q41" s="34"/>
    </row>
    <row r="42" spans="1:18" ht="59.25" customHeight="1" x14ac:dyDescent="0.35">
      <c r="A42" s="30" t="s">
        <v>108</v>
      </c>
      <c r="B42" s="30" t="s">
        <v>27</v>
      </c>
      <c r="C42" s="31">
        <f t="shared" si="9"/>
        <v>360320</v>
      </c>
      <c r="D42" s="31">
        <f t="shared" si="9"/>
        <v>360320</v>
      </c>
      <c r="E42" s="31">
        <f t="shared" si="10"/>
        <v>0</v>
      </c>
      <c r="F42" s="32">
        <v>79270.399999999994</v>
      </c>
      <c r="G42" s="33">
        <f t="shared" si="5"/>
        <v>79270.399999999994</v>
      </c>
      <c r="H42" s="33"/>
      <c r="I42" s="32">
        <f>162144-F42</f>
        <v>82873.600000000006</v>
      </c>
      <c r="J42" s="33">
        <f t="shared" si="6"/>
        <v>82873.600000000006</v>
      </c>
      <c r="K42" s="31"/>
      <c r="L42" s="32">
        <f>288256-162144</f>
        <v>126112</v>
      </c>
      <c r="M42" s="33">
        <f t="shared" si="7"/>
        <v>126112</v>
      </c>
      <c r="N42" s="33"/>
      <c r="O42" s="32">
        <f>360320-288256</f>
        <v>72064</v>
      </c>
      <c r="P42" s="33">
        <f t="shared" si="8"/>
        <v>72064</v>
      </c>
      <c r="Q42" s="34"/>
      <c r="R42" s="35"/>
    </row>
    <row r="43" spans="1:18" ht="63" customHeight="1" x14ac:dyDescent="0.35">
      <c r="A43" s="30" t="s">
        <v>109</v>
      </c>
      <c r="B43" s="30" t="s">
        <v>28</v>
      </c>
      <c r="C43" s="31">
        <f t="shared" si="9"/>
        <v>295325.8</v>
      </c>
      <c r="D43" s="31">
        <f t="shared" si="9"/>
        <v>295325.8</v>
      </c>
      <c r="E43" s="31">
        <f t="shared" si="10"/>
        <v>0</v>
      </c>
      <c r="F43" s="32">
        <v>64971.7</v>
      </c>
      <c r="G43" s="33">
        <f t="shared" si="5"/>
        <v>64971.7</v>
      </c>
      <c r="H43" s="33"/>
      <c r="I43" s="32">
        <f>132896.6-F43</f>
        <v>67924.900000000009</v>
      </c>
      <c r="J43" s="33">
        <f t="shared" si="6"/>
        <v>67924.900000000009</v>
      </c>
      <c r="K43" s="31"/>
      <c r="L43" s="32">
        <f>236260.6-132896.6</f>
        <v>103364</v>
      </c>
      <c r="M43" s="33">
        <f t="shared" si="7"/>
        <v>103364</v>
      </c>
      <c r="N43" s="33"/>
      <c r="O43" s="32">
        <f>295325.8-236260.6</f>
        <v>59065.199999999983</v>
      </c>
      <c r="P43" s="33">
        <f t="shared" si="8"/>
        <v>59065.199999999983</v>
      </c>
      <c r="Q43" s="34"/>
      <c r="R43" s="35"/>
    </row>
    <row r="44" spans="1:18" ht="68.25" customHeight="1" x14ac:dyDescent="0.35">
      <c r="A44" s="29" t="s">
        <v>110</v>
      </c>
      <c r="B44" s="30" t="s">
        <v>29</v>
      </c>
      <c r="C44" s="31">
        <f t="shared" si="9"/>
        <v>550698.1</v>
      </c>
      <c r="D44" s="31">
        <f t="shared" si="9"/>
        <v>550698.1</v>
      </c>
      <c r="E44" s="31">
        <f t="shared" si="10"/>
        <v>0</v>
      </c>
      <c r="F44" s="32">
        <v>110139.6</v>
      </c>
      <c r="G44" s="33">
        <f t="shared" si="5"/>
        <v>110139.6</v>
      </c>
      <c r="H44" s="33">
        <v>0</v>
      </c>
      <c r="I44" s="32">
        <f>247814.1-F44</f>
        <v>137674.5</v>
      </c>
      <c r="J44" s="33">
        <f t="shared" si="6"/>
        <v>137674.5</v>
      </c>
      <c r="K44" s="31"/>
      <c r="L44" s="32">
        <f>385488.6-247814.1</f>
        <v>137674.49999999997</v>
      </c>
      <c r="M44" s="33">
        <f t="shared" si="7"/>
        <v>137674.49999999997</v>
      </c>
      <c r="N44" s="33"/>
      <c r="O44" s="32">
        <f>550698.1-385488.6</f>
        <v>165209.5</v>
      </c>
      <c r="P44" s="33">
        <f t="shared" si="8"/>
        <v>165209.5</v>
      </c>
      <c r="Q44" s="34"/>
      <c r="R44" s="35"/>
    </row>
    <row r="45" spans="1:18" ht="64.5" customHeight="1" x14ac:dyDescent="0.35">
      <c r="A45" s="30" t="s">
        <v>111</v>
      </c>
      <c r="B45" s="30" t="s">
        <v>83</v>
      </c>
      <c r="C45" s="31">
        <f t="shared" si="9"/>
        <v>110212.7</v>
      </c>
      <c r="D45" s="31">
        <f t="shared" si="9"/>
        <v>110212.7</v>
      </c>
      <c r="E45" s="31">
        <f t="shared" si="10"/>
        <v>115439.86</v>
      </c>
      <c r="F45" s="32">
        <v>30000</v>
      </c>
      <c r="G45" s="33">
        <f t="shared" si="5"/>
        <v>30000</v>
      </c>
      <c r="H45" s="33">
        <v>34289.699999999997</v>
      </c>
      <c r="I45" s="32">
        <f>57000-F45</f>
        <v>27000</v>
      </c>
      <c r="J45" s="33">
        <f t="shared" si="6"/>
        <v>27000</v>
      </c>
      <c r="K45" s="31">
        <v>40575.08</v>
      </c>
      <c r="L45" s="32">
        <f>85000-57000</f>
        <v>28000</v>
      </c>
      <c r="M45" s="33">
        <f>L45+0</f>
        <v>28000</v>
      </c>
      <c r="N45" s="33">
        <v>40575.08</v>
      </c>
      <c r="O45" s="32">
        <f>110212.7-85000</f>
        <v>25212.699999999997</v>
      </c>
      <c r="P45" s="33">
        <f t="shared" si="8"/>
        <v>25212.699999999997</v>
      </c>
      <c r="Q45" s="34"/>
      <c r="R45" s="35"/>
    </row>
    <row r="46" spans="1:18" ht="70.5" customHeight="1" x14ac:dyDescent="0.35">
      <c r="A46" s="29" t="s">
        <v>112</v>
      </c>
      <c r="B46" s="30" t="s">
        <v>29</v>
      </c>
      <c r="C46" s="31">
        <f t="shared" si="9"/>
        <v>48306</v>
      </c>
      <c r="D46" s="31">
        <f t="shared" si="9"/>
        <v>48306</v>
      </c>
      <c r="E46" s="31">
        <f t="shared" si="9"/>
        <v>0</v>
      </c>
      <c r="F46" s="32">
        <v>0</v>
      </c>
      <c r="G46" s="33">
        <f t="shared" si="5"/>
        <v>0</v>
      </c>
      <c r="H46" s="33">
        <v>0</v>
      </c>
      <c r="I46" s="32">
        <v>0</v>
      </c>
      <c r="J46" s="33">
        <f t="shared" si="6"/>
        <v>0</v>
      </c>
      <c r="K46" s="31"/>
      <c r="L46" s="32">
        <v>24153</v>
      </c>
      <c r="M46" s="33">
        <f t="shared" ref="M46:M62" si="11">L46+0</f>
        <v>24153</v>
      </c>
      <c r="N46" s="33"/>
      <c r="O46" s="32">
        <f>48306-L46</f>
        <v>24153</v>
      </c>
      <c r="P46" s="33">
        <f t="shared" si="8"/>
        <v>24153</v>
      </c>
      <c r="Q46" s="34"/>
      <c r="R46" s="35"/>
    </row>
    <row r="47" spans="1:18" ht="68.25" customHeight="1" x14ac:dyDescent="0.35">
      <c r="A47" s="20" t="s">
        <v>113</v>
      </c>
      <c r="B47" s="30" t="s">
        <v>86</v>
      </c>
      <c r="C47" s="31">
        <f t="shared" si="9"/>
        <v>24011.5</v>
      </c>
      <c r="D47" s="31">
        <f t="shared" si="9"/>
        <v>24011.5</v>
      </c>
      <c r="E47" s="31">
        <f t="shared" si="9"/>
        <v>0</v>
      </c>
      <c r="F47" s="32">
        <v>6002.8</v>
      </c>
      <c r="G47" s="33">
        <f t="shared" si="5"/>
        <v>6002.8</v>
      </c>
      <c r="H47" s="31">
        <v>0</v>
      </c>
      <c r="I47" s="32">
        <f>12005.6-F47</f>
        <v>6002.8</v>
      </c>
      <c r="J47" s="33">
        <f t="shared" si="6"/>
        <v>6002.8</v>
      </c>
      <c r="K47" s="31"/>
      <c r="L47" s="32">
        <f>18008.4-12005.6</f>
        <v>6002.8000000000011</v>
      </c>
      <c r="M47" s="33">
        <f t="shared" si="11"/>
        <v>6002.8000000000011</v>
      </c>
      <c r="N47" s="33"/>
      <c r="O47" s="32">
        <f>24011.5-18008.4</f>
        <v>6003.0999999999985</v>
      </c>
      <c r="P47" s="33">
        <f t="shared" si="8"/>
        <v>6003.0999999999985</v>
      </c>
      <c r="Q47" s="34"/>
      <c r="R47" s="35"/>
    </row>
    <row r="48" spans="1:18" ht="63" customHeight="1" x14ac:dyDescent="0.35">
      <c r="A48" s="20" t="s">
        <v>76</v>
      </c>
      <c r="B48" s="20" t="s">
        <v>30</v>
      </c>
      <c r="C48" s="31">
        <f t="shared" si="9"/>
        <v>480230</v>
      </c>
      <c r="D48" s="31">
        <f t="shared" si="9"/>
        <v>480230</v>
      </c>
      <c r="E48" s="31">
        <f t="shared" si="9"/>
        <v>0</v>
      </c>
      <c r="F48" s="32">
        <v>144069</v>
      </c>
      <c r="G48" s="33">
        <f t="shared" si="5"/>
        <v>144069</v>
      </c>
      <c r="H48" s="31"/>
      <c r="I48" s="32">
        <f>288138-144069</f>
        <v>144069</v>
      </c>
      <c r="J48" s="33">
        <f t="shared" si="6"/>
        <v>144069</v>
      </c>
      <c r="K48" s="31"/>
      <c r="L48" s="32">
        <f>379381.7-288138</f>
        <v>91243.700000000012</v>
      </c>
      <c r="M48" s="33">
        <f t="shared" si="11"/>
        <v>91243.700000000012</v>
      </c>
      <c r="N48" s="33"/>
      <c r="O48" s="32">
        <f>480230-379381.7</f>
        <v>100848.29999999999</v>
      </c>
      <c r="P48" s="33">
        <f t="shared" si="8"/>
        <v>100848.29999999999</v>
      </c>
      <c r="Q48" s="34"/>
    </row>
    <row r="49" spans="1:27" ht="63" customHeight="1" x14ac:dyDescent="0.35">
      <c r="A49" s="20" t="s">
        <v>77</v>
      </c>
      <c r="B49" s="20" t="s">
        <v>89</v>
      </c>
      <c r="C49" s="31">
        <f t="shared" si="9"/>
        <v>336161</v>
      </c>
      <c r="D49" s="31">
        <f t="shared" si="9"/>
        <v>336161</v>
      </c>
      <c r="E49" s="31">
        <f t="shared" si="9"/>
        <v>0</v>
      </c>
      <c r="F49" s="32">
        <v>84040.2</v>
      </c>
      <c r="G49" s="33">
        <f t="shared" si="5"/>
        <v>84040.2</v>
      </c>
      <c r="H49" s="31"/>
      <c r="I49" s="32">
        <f>168080.5-F49</f>
        <v>84040.3</v>
      </c>
      <c r="J49" s="33">
        <f t="shared" si="6"/>
        <v>84040.3</v>
      </c>
      <c r="K49" s="31"/>
      <c r="L49" s="32">
        <f>252120.7-168080.5</f>
        <v>84040.200000000012</v>
      </c>
      <c r="M49" s="33">
        <f t="shared" si="11"/>
        <v>84040.200000000012</v>
      </c>
      <c r="N49" s="33"/>
      <c r="O49" s="32">
        <f>336161-252120.7</f>
        <v>84040.299999999988</v>
      </c>
      <c r="P49" s="33">
        <f t="shared" si="8"/>
        <v>84040.299999999988</v>
      </c>
      <c r="Q49" s="34"/>
      <c r="AA49" s="50"/>
    </row>
    <row r="50" spans="1:27" ht="63" customHeight="1" x14ac:dyDescent="0.35">
      <c r="A50" s="20" t="s">
        <v>79</v>
      </c>
      <c r="B50" s="20" t="s">
        <v>31</v>
      </c>
      <c r="C50" s="31">
        <f t="shared" si="9"/>
        <v>120057.5</v>
      </c>
      <c r="D50" s="31">
        <f t="shared" si="9"/>
        <v>120057.5</v>
      </c>
      <c r="E50" s="31">
        <f t="shared" si="9"/>
        <v>0</v>
      </c>
      <c r="F50" s="32">
        <v>47295.3</v>
      </c>
      <c r="G50" s="33">
        <f t="shared" si="5"/>
        <v>47295.3</v>
      </c>
      <c r="H50" s="31"/>
      <c r="I50" s="32">
        <f>94590.6-F50</f>
        <v>47295.3</v>
      </c>
      <c r="J50" s="33">
        <f t="shared" si="6"/>
        <v>47295.3</v>
      </c>
      <c r="K50" s="31"/>
      <c r="L50" s="32">
        <f>107324-94590.6</f>
        <v>12733.399999999994</v>
      </c>
      <c r="M50" s="33">
        <f t="shared" si="11"/>
        <v>12733.399999999994</v>
      </c>
      <c r="N50" s="33"/>
      <c r="O50" s="32">
        <f>120057.5-107324</f>
        <v>12733.5</v>
      </c>
      <c r="P50" s="33">
        <f t="shared" si="8"/>
        <v>12733.5</v>
      </c>
      <c r="Q50" s="34"/>
    </row>
    <row r="51" spans="1:27" ht="63" customHeight="1" x14ac:dyDescent="0.35">
      <c r="A51" s="20" t="s">
        <v>80</v>
      </c>
      <c r="B51" s="20" t="s">
        <v>114</v>
      </c>
      <c r="C51" s="31">
        <f t="shared" si="9"/>
        <v>10411.4</v>
      </c>
      <c r="D51" s="31">
        <f t="shared" si="9"/>
        <v>36749</v>
      </c>
      <c r="E51" s="31">
        <f t="shared" si="9"/>
        <v>0</v>
      </c>
      <c r="F51" s="32">
        <v>10411.4</v>
      </c>
      <c r="G51" s="33">
        <f t="shared" si="5"/>
        <v>10411.4</v>
      </c>
      <c r="H51" s="31"/>
      <c r="I51" s="32">
        <v>0</v>
      </c>
      <c r="J51" s="33">
        <f t="shared" si="6"/>
        <v>0</v>
      </c>
      <c r="K51" s="31"/>
      <c r="L51" s="32">
        <v>0</v>
      </c>
      <c r="M51" s="33">
        <v>26337.599999999999</v>
      </c>
      <c r="N51" s="33"/>
      <c r="O51" s="32">
        <v>0</v>
      </c>
      <c r="P51" s="33">
        <f t="shared" si="8"/>
        <v>0</v>
      </c>
      <c r="Q51" s="34"/>
    </row>
    <row r="52" spans="1:27" ht="63" customHeight="1" x14ac:dyDescent="0.35">
      <c r="A52" s="29" t="s">
        <v>81</v>
      </c>
      <c r="B52" s="20" t="s">
        <v>32</v>
      </c>
      <c r="C52" s="31">
        <f t="shared" si="9"/>
        <v>56513.5</v>
      </c>
      <c r="D52" s="31">
        <f t="shared" si="9"/>
        <v>56513.5</v>
      </c>
      <c r="E52" s="31">
        <f t="shared" si="9"/>
        <v>0</v>
      </c>
      <c r="F52" s="32">
        <v>28256.799999999999</v>
      </c>
      <c r="G52" s="33">
        <f t="shared" si="5"/>
        <v>28256.799999999999</v>
      </c>
      <c r="H52" s="31"/>
      <c r="I52" s="32">
        <f>56513.5-F52</f>
        <v>28256.7</v>
      </c>
      <c r="J52" s="33">
        <f t="shared" si="6"/>
        <v>28256.7</v>
      </c>
      <c r="K52" s="31"/>
      <c r="L52" s="32">
        <v>0</v>
      </c>
      <c r="M52" s="33">
        <f t="shared" si="11"/>
        <v>0</v>
      </c>
      <c r="N52" s="33"/>
      <c r="O52" s="32">
        <v>0</v>
      </c>
      <c r="P52" s="33">
        <f t="shared" si="8"/>
        <v>0</v>
      </c>
      <c r="Q52" s="34"/>
    </row>
    <row r="53" spans="1:27" ht="63" customHeight="1" x14ac:dyDescent="0.35">
      <c r="A53" s="20" t="s">
        <v>82</v>
      </c>
      <c r="B53" s="20" t="s">
        <v>94</v>
      </c>
      <c r="C53" s="31">
        <f t="shared" si="9"/>
        <v>410164.4</v>
      </c>
      <c r="D53" s="31">
        <f t="shared" si="9"/>
        <v>410164.4</v>
      </c>
      <c r="E53" s="31">
        <f t="shared" si="9"/>
        <v>161133.9</v>
      </c>
      <c r="F53" s="32">
        <v>205082.2</v>
      </c>
      <c r="G53" s="33">
        <f t="shared" si="5"/>
        <v>205082.2</v>
      </c>
      <c r="H53" s="33"/>
      <c r="I53" s="32">
        <f>410164.4-F53</f>
        <v>205082.2</v>
      </c>
      <c r="J53" s="33">
        <f t="shared" si="6"/>
        <v>205082.2</v>
      </c>
      <c r="K53" s="31"/>
      <c r="L53" s="32">
        <f>0</f>
        <v>0</v>
      </c>
      <c r="M53" s="33">
        <f t="shared" si="11"/>
        <v>0</v>
      </c>
      <c r="N53" s="33">
        <v>161133.9</v>
      </c>
      <c r="O53" s="32">
        <v>0</v>
      </c>
      <c r="P53" s="33">
        <f t="shared" si="8"/>
        <v>0</v>
      </c>
      <c r="Q53" s="34"/>
    </row>
    <row r="54" spans="1:27" ht="63" customHeight="1" x14ac:dyDescent="0.35">
      <c r="A54" s="20" t="s">
        <v>84</v>
      </c>
      <c r="B54" s="20" t="s">
        <v>96</v>
      </c>
      <c r="C54" s="31">
        <f t="shared" si="9"/>
        <v>10291.6</v>
      </c>
      <c r="D54" s="31">
        <f t="shared" si="9"/>
        <v>10291.6</v>
      </c>
      <c r="E54" s="31">
        <f t="shared" si="9"/>
        <v>0</v>
      </c>
      <c r="F54" s="32">
        <v>2572.9</v>
      </c>
      <c r="G54" s="33">
        <f t="shared" si="5"/>
        <v>2572.9</v>
      </c>
      <c r="H54" s="33"/>
      <c r="I54" s="32">
        <f>5145.8-F54</f>
        <v>2572.9</v>
      </c>
      <c r="J54" s="33">
        <f t="shared" si="6"/>
        <v>2572.9</v>
      </c>
      <c r="K54" s="31"/>
      <c r="L54" s="32">
        <f>7718.7-5145.8</f>
        <v>2572.8999999999996</v>
      </c>
      <c r="M54" s="33">
        <f t="shared" si="11"/>
        <v>2572.8999999999996</v>
      </c>
      <c r="N54" s="33"/>
      <c r="O54" s="32">
        <f>10291.6-7718.7</f>
        <v>2572.9000000000005</v>
      </c>
      <c r="P54" s="33">
        <f t="shared" si="8"/>
        <v>2572.9000000000005</v>
      </c>
      <c r="Q54" s="34"/>
    </row>
    <row r="55" spans="1:27" ht="63" customHeight="1" x14ac:dyDescent="0.35">
      <c r="A55" s="20" t="s">
        <v>85</v>
      </c>
      <c r="B55" s="20" t="s">
        <v>98</v>
      </c>
      <c r="C55" s="31">
        <f t="shared" si="9"/>
        <v>12005.8</v>
      </c>
      <c r="D55" s="31">
        <f t="shared" si="9"/>
        <v>12005.8</v>
      </c>
      <c r="E55" s="31">
        <f t="shared" si="9"/>
        <v>0</v>
      </c>
      <c r="F55" s="32">
        <v>0</v>
      </c>
      <c r="G55" s="33">
        <f t="shared" si="5"/>
        <v>0</v>
      </c>
      <c r="H55" s="33">
        <v>0</v>
      </c>
      <c r="I55" s="32">
        <v>0</v>
      </c>
      <c r="J55" s="33">
        <f t="shared" si="6"/>
        <v>0</v>
      </c>
      <c r="K55" s="31"/>
      <c r="L55" s="32">
        <v>12005.8</v>
      </c>
      <c r="M55" s="33">
        <f t="shared" si="11"/>
        <v>12005.8</v>
      </c>
      <c r="N55" s="33"/>
      <c r="O55" s="32">
        <v>0</v>
      </c>
      <c r="P55" s="33">
        <f t="shared" si="8"/>
        <v>0</v>
      </c>
      <c r="Q55" s="34"/>
    </row>
    <row r="56" spans="1:27" ht="63" customHeight="1" x14ac:dyDescent="0.35">
      <c r="A56" s="20" t="s">
        <v>87</v>
      </c>
      <c r="B56" s="20" t="s">
        <v>99</v>
      </c>
      <c r="C56" s="31">
        <f t="shared" si="9"/>
        <v>1821732.7</v>
      </c>
      <c r="D56" s="31">
        <f t="shared" si="9"/>
        <v>1821732.7</v>
      </c>
      <c r="E56" s="31">
        <f t="shared" si="9"/>
        <v>0</v>
      </c>
      <c r="F56" s="32">
        <v>53497.2</v>
      </c>
      <c r="G56" s="33">
        <f t="shared" si="5"/>
        <v>53497.2</v>
      </c>
      <c r="H56" s="33"/>
      <c r="I56" s="32">
        <f>467262.3-53497.2</f>
        <v>413765.1</v>
      </c>
      <c r="J56" s="33">
        <f t="shared" si="6"/>
        <v>413765.1</v>
      </c>
      <c r="K56" s="31"/>
      <c r="L56" s="32">
        <f>971970.7-467262.3</f>
        <v>504708.39999999997</v>
      </c>
      <c r="M56" s="33">
        <f t="shared" si="11"/>
        <v>504708.39999999997</v>
      </c>
      <c r="N56" s="33"/>
      <c r="O56" s="32">
        <f>1821732.7-971970.7</f>
        <v>849762</v>
      </c>
      <c r="P56" s="33">
        <f t="shared" si="8"/>
        <v>849762</v>
      </c>
      <c r="Q56" s="34"/>
    </row>
    <row r="57" spans="1:27" ht="63" customHeight="1" x14ac:dyDescent="0.35">
      <c r="A57" s="20" t="s">
        <v>88</v>
      </c>
      <c r="B57" s="20" t="s">
        <v>33</v>
      </c>
      <c r="C57" s="31">
        <f t="shared" si="9"/>
        <v>1921139.3</v>
      </c>
      <c r="D57" s="31">
        <f t="shared" si="9"/>
        <v>1921139.3</v>
      </c>
      <c r="E57" s="31">
        <f t="shared" si="9"/>
        <v>0</v>
      </c>
      <c r="F57" s="32">
        <v>532211.9</v>
      </c>
      <c r="G57" s="33">
        <f t="shared" si="5"/>
        <v>532211.9</v>
      </c>
      <c r="H57" s="33"/>
      <c r="I57" s="32">
        <f>1233639.4-F57</f>
        <v>701427.49999999988</v>
      </c>
      <c r="J57" s="33">
        <f t="shared" si="6"/>
        <v>701427.49999999988</v>
      </c>
      <c r="K57" s="31"/>
      <c r="L57" s="32">
        <f>1608639.4-1233639.4</f>
        <v>375000</v>
      </c>
      <c r="M57" s="33">
        <f t="shared" si="11"/>
        <v>375000</v>
      </c>
      <c r="N57" s="33"/>
      <c r="O57" s="32">
        <f>1921139.3-1608639.4</f>
        <v>312499.90000000014</v>
      </c>
      <c r="P57" s="33">
        <f t="shared" si="8"/>
        <v>312499.90000000014</v>
      </c>
      <c r="Q57" s="34"/>
    </row>
    <row r="58" spans="1:27" ht="63" customHeight="1" thickBot="1" x14ac:dyDescent="0.4">
      <c r="A58" s="20" t="s">
        <v>90</v>
      </c>
      <c r="B58" s="20" t="s">
        <v>100</v>
      </c>
      <c r="C58" s="31">
        <f t="shared" si="9"/>
        <v>5280159.3</v>
      </c>
      <c r="D58" s="31">
        <f t="shared" si="9"/>
        <v>5280159.3</v>
      </c>
      <c r="E58" s="31">
        <f t="shared" si="9"/>
        <v>118102.01</v>
      </c>
      <c r="F58" s="32">
        <v>4049043.1</v>
      </c>
      <c r="G58" s="33">
        <f t="shared" si="5"/>
        <v>4049043.1</v>
      </c>
      <c r="H58" s="32"/>
      <c r="I58" s="32">
        <f>4863154.1-F58</f>
        <v>814110.99999999953</v>
      </c>
      <c r="J58" s="33">
        <f t="shared" si="6"/>
        <v>814110.99999999953</v>
      </c>
      <c r="K58" s="31"/>
      <c r="L58" s="32">
        <f>5173958.8-4863154.1</f>
        <v>310804.70000000019</v>
      </c>
      <c r="M58" s="33">
        <f t="shared" si="11"/>
        <v>310804.70000000019</v>
      </c>
      <c r="N58" s="33">
        <v>118102.01</v>
      </c>
      <c r="O58" s="32">
        <f>5280159.3-5173958.8</f>
        <v>106200.5</v>
      </c>
      <c r="P58" s="33">
        <f t="shared" si="8"/>
        <v>106200.5</v>
      </c>
      <c r="Q58" s="34"/>
    </row>
    <row r="59" spans="1:27" ht="63" customHeight="1" x14ac:dyDescent="0.35">
      <c r="A59" s="44" t="s">
        <v>91</v>
      </c>
      <c r="B59" s="20" t="s">
        <v>34</v>
      </c>
      <c r="C59" s="31">
        <f t="shared" si="9"/>
        <v>731289</v>
      </c>
      <c r="D59" s="31">
        <f t="shared" si="9"/>
        <v>1101289</v>
      </c>
      <c r="E59" s="31">
        <f t="shared" si="9"/>
        <v>0</v>
      </c>
      <c r="F59" s="32">
        <v>370000</v>
      </c>
      <c r="G59" s="33">
        <f t="shared" si="5"/>
        <v>370000</v>
      </c>
      <c r="H59" s="32">
        <v>0</v>
      </c>
      <c r="I59" s="32">
        <v>0</v>
      </c>
      <c r="J59" s="33">
        <v>370000</v>
      </c>
      <c r="K59" s="31"/>
      <c r="L59" s="32">
        <f>731289-370000</f>
        <v>361289</v>
      </c>
      <c r="M59" s="33">
        <f t="shared" si="11"/>
        <v>361289</v>
      </c>
      <c r="N59" s="33"/>
      <c r="O59" s="32">
        <f>0</f>
        <v>0</v>
      </c>
      <c r="P59" s="33">
        <f t="shared" si="8"/>
        <v>0</v>
      </c>
      <c r="Q59" s="34"/>
    </row>
    <row r="60" spans="1:27" ht="63" customHeight="1" x14ac:dyDescent="0.35">
      <c r="A60" s="29" t="s">
        <v>92</v>
      </c>
      <c r="B60" s="20" t="s">
        <v>101</v>
      </c>
      <c r="C60" s="31">
        <f t="shared" si="9"/>
        <v>1631337</v>
      </c>
      <c r="D60" s="31">
        <f t="shared" si="9"/>
        <v>1631337</v>
      </c>
      <c r="E60" s="31">
        <f t="shared" si="9"/>
        <v>0</v>
      </c>
      <c r="F60" s="32">
        <v>600000</v>
      </c>
      <c r="G60" s="33">
        <f t="shared" si="5"/>
        <v>600000</v>
      </c>
      <c r="H60" s="31"/>
      <c r="I60" s="32">
        <f>1200000-F60</f>
        <v>600000</v>
      </c>
      <c r="J60" s="33">
        <v>600000</v>
      </c>
      <c r="K60" s="31"/>
      <c r="L60" s="32">
        <f>1631337-1200000</f>
        <v>431337</v>
      </c>
      <c r="M60" s="33">
        <f t="shared" si="11"/>
        <v>431337</v>
      </c>
      <c r="N60" s="33"/>
      <c r="O60" s="32">
        <f>0</f>
        <v>0</v>
      </c>
      <c r="P60" s="33">
        <f t="shared" si="8"/>
        <v>0</v>
      </c>
      <c r="Q60" s="34"/>
    </row>
    <row r="61" spans="1:27" ht="63" customHeight="1" x14ac:dyDescent="0.35">
      <c r="A61" s="20" t="s">
        <v>93</v>
      </c>
      <c r="B61" s="20" t="s">
        <v>35</v>
      </c>
      <c r="C61" s="31">
        <f t="shared" si="9"/>
        <v>487913.70000000007</v>
      </c>
      <c r="D61" s="31">
        <f t="shared" si="9"/>
        <v>487913.70000000007</v>
      </c>
      <c r="E61" s="31">
        <f>H61+K61+N61+Q61</f>
        <v>300657.07999999996</v>
      </c>
      <c r="F61" s="32">
        <v>9424.4</v>
      </c>
      <c r="G61" s="33">
        <f t="shared" si="5"/>
        <v>9424.4</v>
      </c>
      <c r="H61" s="31">
        <v>11099.92</v>
      </c>
      <c r="I61" s="32">
        <f>62467.1-F61</f>
        <v>53042.7</v>
      </c>
      <c r="J61" s="33">
        <f t="shared" si="6"/>
        <v>53042.7</v>
      </c>
      <c r="K61" s="31">
        <v>4211.4399999999996</v>
      </c>
      <c r="L61" s="32">
        <f>201056.4-62467.1</f>
        <v>138589.29999999999</v>
      </c>
      <c r="M61" s="33">
        <f t="shared" si="11"/>
        <v>138589.29999999999</v>
      </c>
      <c r="N61" s="33">
        <v>285345.71999999997</v>
      </c>
      <c r="O61" s="32">
        <f>487913.7-201056.4</f>
        <v>286857.30000000005</v>
      </c>
      <c r="P61" s="33">
        <f t="shared" si="8"/>
        <v>286857.30000000005</v>
      </c>
      <c r="Q61" s="34"/>
    </row>
    <row r="62" spans="1:27" ht="63" customHeight="1" x14ac:dyDescent="0.35">
      <c r="A62" s="20" t="s">
        <v>95</v>
      </c>
      <c r="B62" s="20" t="s">
        <v>36</v>
      </c>
      <c r="C62" s="31">
        <f t="shared" si="9"/>
        <v>136456.29999999999</v>
      </c>
      <c r="D62" s="31">
        <f t="shared" si="9"/>
        <v>136456.29999999999</v>
      </c>
      <c r="E62" s="31">
        <f>H62+K62+N62+Q62</f>
        <v>0</v>
      </c>
      <c r="F62" s="32">
        <v>0</v>
      </c>
      <c r="G62" s="33">
        <f t="shared" si="5"/>
        <v>0</v>
      </c>
      <c r="H62" s="32">
        <v>0</v>
      </c>
      <c r="I62" s="32">
        <v>0</v>
      </c>
      <c r="J62" s="33">
        <f t="shared" si="6"/>
        <v>0</v>
      </c>
      <c r="K62" s="32"/>
      <c r="L62" s="33">
        <v>37264.6</v>
      </c>
      <c r="M62" s="33">
        <f t="shared" si="11"/>
        <v>37264.6</v>
      </c>
      <c r="N62" s="32"/>
      <c r="O62" s="33">
        <f>136456.3-37264.6</f>
        <v>99191.699999999983</v>
      </c>
      <c r="P62" s="33">
        <f t="shared" si="8"/>
        <v>99191.699999999983</v>
      </c>
      <c r="Q62" s="51"/>
    </row>
    <row r="63" spans="1:27" ht="63" customHeight="1" thickBot="1" x14ac:dyDescent="0.4">
      <c r="A63" s="20" t="s">
        <v>97</v>
      </c>
      <c r="B63" s="52" t="s">
        <v>37</v>
      </c>
      <c r="C63" s="53">
        <f t="shared" si="9"/>
        <v>52130</v>
      </c>
      <c r="D63" s="53">
        <f t="shared" si="9"/>
        <v>52130</v>
      </c>
      <c r="E63" s="53">
        <f>H63+K63+N63+Q63</f>
        <v>0</v>
      </c>
      <c r="F63" s="54">
        <v>0</v>
      </c>
      <c r="G63" s="55">
        <v>0</v>
      </c>
      <c r="H63" s="55">
        <v>0</v>
      </c>
      <c r="I63" s="54"/>
      <c r="J63" s="55">
        <f t="shared" si="6"/>
        <v>0</v>
      </c>
      <c r="K63" s="53"/>
      <c r="L63" s="54">
        <v>0</v>
      </c>
      <c r="M63" s="55">
        <f t="shared" si="7"/>
        <v>0</v>
      </c>
      <c r="N63" s="55"/>
      <c r="O63" s="54">
        <v>52130</v>
      </c>
      <c r="P63" s="55">
        <f t="shared" si="8"/>
        <v>52130</v>
      </c>
      <c r="Q63" s="56"/>
    </row>
    <row r="64" spans="1:27" x14ac:dyDescent="0.35">
      <c r="B64" s="36" t="s">
        <v>105</v>
      </c>
    </row>
    <row r="65" spans="1:8" x14ac:dyDescent="0.35">
      <c r="B65" s="36" t="s">
        <v>106</v>
      </c>
    </row>
    <row r="66" spans="1:8" x14ac:dyDescent="0.35">
      <c r="H66" s="41"/>
    </row>
    <row r="67" spans="1:8" s="2" customFormat="1" ht="20.25" x14ac:dyDescent="0.35">
      <c r="A67" s="26"/>
      <c r="B67" s="37" t="s">
        <v>102</v>
      </c>
      <c r="E67" s="37"/>
    </row>
    <row r="68" spans="1:8" s="2" customFormat="1" ht="20.25" x14ac:dyDescent="0.35">
      <c r="A68" s="26"/>
      <c r="B68" s="37" t="s">
        <v>103</v>
      </c>
      <c r="E68" s="37"/>
    </row>
    <row r="69" spans="1:8" x14ac:dyDescent="0.35">
      <c r="B69" s="37" t="s">
        <v>115</v>
      </c>
    </row>
  </sheetData>
  <mergeCells count="12">
    <mergeCell ref="A9:B9"/>
    <mergeCell ref="A10:B10"/>
    <mergeCell ref="A18:B18"/>
    <mergeCell ref="B1:O1"/>
    <mergeCell ref="B2:O2"/>
    <mergeCell ref="B4:O4"/>
    <mergeCell ref="A7:B8"/>
    <mergeCell ref="C7:E7"/>
    <mergeCell ref="F7:H7"/>
    <mergeCell ref="I7:K7"/>
    <mergeCell ref="L7:N7"/>
    <mergeCell ref="O7:Q7"/>
  </mergeCells>
  <pageMargins left="0.7" right="0.7" top="0.75" bottom="0.75" header="0.3" footer="0.3"/>
  <pageSetup paperSize="9" orientation="portrait" horizontalDpi="4294967294" verticalDpi="4294967294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buje-ampop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2019-11-11T12:09:22Z</dcterms:modified>
</cp:coreProperties>
</file>